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BU-U01\Downloads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_FilterDatabase" localSheetId="0" hidden="1">Sheet1!$A$7:$D$14278</definedName>
  </definedNames>
  <calcPr calcId="162913"/>
</workbook>
</file>

<file path=xl/calcChain.xml><?xml version="1.0" encoding="utf-8"?>
<calcChain xmlns="http://schemas.openxmlformats.org/spreadsheetml/2006/main">
  <c r="C14278" i="1" l="1"/>
  <c r="C14277" i="1"/>
  <c r="C14276" i="1"/>
  <c r="C14275" i="1"/>
  <c r="C14274" i="1"/>
  <c r="C14273" i="1"/>
  <c r="C14272" i="1"/>
  <c r="C14271" i="1"/>
  <c r="C14270" i="1"/>
  <c r="C14269" i="1"/>
  <c r="C14268" i="1"/>
  <c r="C14267" i="1"/>
  <c r="C14266" i="1"/>
  <c r="C14265" i="1"/>
  <c r="C14264" i="1"/>
  <c r="C14263" i="1"/>
  <c r="C14262" i="1"/>
  <c r="C14261" i="1"/>
  <c r="C14260" i="1"/>
  <c r="C14259" i="1"/>
  <c r="C14258" i="1"/>
  <c r="C14257" i="1"/>
  <c r="C14256" i="1"/>
  <c r="C14255" i="1"/>
  <c r="C14254" i="1"/>
  <c r="C14253" i="1"/>
  <c r="C14252" i="1"/>
  <c r="C14251" i="1"/>
  <c r="C14250" i="1"/>
  <c r="C14249" i="1"/>
  <c r="C14248" i="1"/>
  <c r="C14247" i="1"/>
  <c r="C14246" i="1"/>
  <c r="C14245" i="1"/>
  <c r="C14244" i="1"/>
  <c r="C14243" i="1"/>
  <c r="C14242" i="1"/>
  <c r="C14241" i="1"/>
  <c r="C14240" i="1"/>
  <c r="C14239" i="1"/>
  <c r="C14238" i="1"/>
  <c r="C14237" i="1"/>
  <c r="C14236" i="1"/>
  <c r="C14235" i="1"/>
  <c r="C14234" i="1"/>
  <c r="C14233" i="1"/>
  <c r="C14232" i="1"/>
  <c r="C14231" i="1"/>
  <c r="C14230" i="1"/>
  <c r="C14229" i="1"/>
  <c r="C14228" i="1"/>
  <c r="C14227" i="1"/>
  <c r="C14226" i="1"/>
  <c r="C14225" i="1"/>
  <c r="C14224" i="1"/>
  <c r="C14223" i="1"/>
  <c r="C14222" i="1"/>
  <c r="C14221" i="1"/>
  <c r="C14220" i="1"/>
  <c r="C14219" i="1"/>
  <c r="C14218" i="1"/>
  <c r="C14217" i="1"/>
  <c r="C14216" i="1"/>
  <c r="C14215" i="1"/>
  <c r="C14214" i="1"/>
  <c r="C14213" i="1"/>
  <c r="C14212" i="1"/>
  <c r="C14211" i="1"/>
  <c r="C14210" i="1"/>
  <c r="C14209" i="1"/>
  <c r="C14208" i="1"/>
  <c r="C14207" i="1"/>
  <c r="C14206" i="1"/>
  <c r="C14205" i="1"/>
  <c r="C14204" i="1"/>
  <c r="C14203" i="1"/>
  <c r="C14202" i="1"/>
  <c r="C14201" i="1"/>
  <c r="C14200" i="1"/>
  <c r="C14199" i="1"/>
  <c r="C14198" i="1"/>
  <c r="C14197" i="1"/>
  <c r="C14196" i="1"/>
  <c r="C14195" i="1"/>
  <c r="C14194" i="1"/>
  <c r="C14193" i="1"/>
  <c r="C14192" i="1"/>
  <c r="C14191" i="1"/>
  <c r="C14190" i="1"/>
  <c r="C14189" i="1"/>
  <c r="C14188" i="1"/>
  <c r="C14187" i="1"/>
  <c r="C14186" i="1"/>
  <c r="C14185" i="1"/>
  <c r="C14184" i="1"/>
  <c r="C14183" i="1"/>
  <c r="C14182" i="1"/>
  <c r="C14181" i="1"/>
  <c r="C14180" i="1"/>
  <c r="C14179" i="1"/>
  <c r="C14178" i="1"/>
  <c r="C14177" i="1"/>
  <c r="C14176" i="1"/>
  <c r="C14175" i="1"/>
  <c r="C14174" i="1"/>
  <c r="C14173" i="1"/>
  <c r="C14172" i="1"/>
  <c r="C14171" i="1"/>
  <c r="C14170" i="1"/>
  <c r="C14169" i="1"/>
  <c r="C14168" i="1"/>
  <c r="C14167" i="1"/>
  <c r="C14166" i="1"/>
  <c r="C14165" i="1"/>
  <c r="C14164" i="1"/>
  <c r="C14163" i="1"/>
  <c r="C14162" i="1"/>
  <c r="C14161" i="1"/>
  <c r="C14160" i="1"/>
  <c r="C14159" i="1"/>
  <c r="C14158" i="1"/>
  <c r="C14157" i="1"/>
  <c r="C14156" i="1"/>
  <c r="C14155" i="1"/>
  <c r="C14154" i="1"/>
  <c r="C14153" i="1"/>
  <c r="C14152" i="1"/>
  <c r="C14151" i="1"/>
  <c r="C14150" i="1"/>
  <c r="C14149" i="1"/>
  <c r="C14148" i="1"/>
  <c r="C14147" i="1"/>
  <c r="C14146" i="1"/>
  <c r="C14145" i="1"/>
  <c r="C14144" i="1"/>
  <c r="C14143" i="1"/>
  <c r="C14142" i="1"/>
  <c r="C14141" i="1"/>
  <c r="C14140" i="1"/>
  <c r="C14139" i="1"/>
  <c r="C14138" i="1"/>
  <c r="C14137" i="1"/>
  <c r="C14136" i="1"/>
  <c r="C14135" i="1"/>
  <c r="C14134" i="1"/>
  <c r="C14133" i="1"/>
  <c r="C14132" i="1"/>
  <c r="C14131" i="1"/>
  <c r="C14130" i="1"/>
  <c r="C14129" i="1"/>
  <c r="C14128" i="1"/>
  <c r="C14127" i="1"/>
  <c r="C14126" i="1"/>
  <c r="C14125" i="1"/>
  <c r="C14124" i="1"/>
  <c r="C14123" i="1"/>
  <c r="C14122" i="1"/>
  <c r="C14121" i="1"/>
  <c r="C14120" i="1"/>
  <c r="C14119" i="1"/>
  <c r="C14118" i="1"/>
  <c r="C14117" i="1"/>
  <c r="C14116" i="1"/>
  <c r="C14115" i="1"/>
  <c r="C14114" i="1"/>
  <c r="C14113" i="1"/>
  <c r="C14112" i="1"/>
  <c r="C14111" i="1"/>
  <c r="C14110" i="1"/>
  <c r="C14109" i="1"/>
  <c r="C14108" i="1"/>
  <c r="C14107" i="1"/>
  <c r="C14106" i="1"/>
  <c r="C14105" i="1"/>
  <c r="C14104" i="1"/>
  <c r="C14103" i="1"/>
  <c r="C14102" i="1"/>
  <c r="C14101" i="1"/>
  <c r="C14100" i="1"/>
  <c r="C14099" i="1"/>
  <c r="C14098" i="1"/>
  <c r="C14097" i="1"/>
  <c r="C14096" i="1"/>
  <c r="C14095" i="1"/>
  <c r="C14094" i="1"/>
  <c r="C14093" i="1"/>
  <c r="C14092" i="1"/>
  <c r="C14091" i="1"/>
  <c r="C14090" i="1"/>
  <c r="C14089" i="1"/>
  <c r="C14088" i="1"/>
  <c r="C14087" i="1"/>
  <c r="C14086" i="1"/>
  <c r="C14085" i="1"/>
  <c r="C14084" i="1"/>
  <c r="C14083" i="1"/>
  <c r="C14082" i="1"/>
  <c r="C14081" i="1"/>
  <c r="C14080" i="1"/>
  <c r="C14079" i="1"/>
  <c r="C14078" i="1"/>
  <c r="C14077" i="1"/>
  <c r="C14076" i="1"/>
  <c r="C14075" i="1"/>
  <c r="C14074" i="1"/>
  <c r="C14073" i="1"/>
  <c r="C14072" i="1"/>
  <c r="C14071" i="1"/>
  <c r="C14070" i="1"/>
  <c r="C14069" i="1"/>
  <c r="C14068" i="1"/>
  <c r="C14067" i="1"/>
  <c r="C14066" i="1"/>
  <c r="C14065" i="1"/>
  <c r="C14064" i="1"/>
  <c r="C14063" i="1"/>
  <c r="C14062" i="1"/>
  <c r="C14061" i="1"/>
  <c r="C14060" i="1"/>
  <c r="C14059" i="1"/>
  <c r="C14058" i="1"/>
  <c r="C14057" i="1"/>
  <c r="C14056" i="1"/>
  <c r="C14055" i="1"/>
  <c r="C14054" i="1"/>
  <c r="C14053" i="1"/>
  <c r="C14052" i="1"/>
  <c r="C14051" i="1"/>
  <c r="C14050" i="1"/>
  <c r="C14049" i="1"/>
  <c r="C14048" i="1"/>
  <c r="C14047" i="1"/>
  <c r="C14046" i="1"/>
  <c r="C14045" i="1"/>
  <c r="C14044" i="1"/>
  <c r="C14043" i="1"/>
  <c r="C14042" i="1"/>
  <c r="C14041" i="1"/>
  <c r="C14040" i="1"/>
  <c r="C14039" i="1"/>
  <c r="C14038" i="1"/>
  <c r="C14037" i="1"/>
  <c r="C14036" i="1"/>
  <c r="C14035" i="1"/>
  <c r="C14034" i="1"/>
  <c r="C14033" i="1"/>
  <c r="C14032" i="1"/>
  <c r="C14031" i="1"/>
  <c r="C14030" i="1"/>
  <c r="C14029" i="1"/>
  <c r="C14028" i="1"/>
  <c r="C14027" i="1"/>
  <c r="C14026" i="1"/>
  <c r="C14025" i="1"/>
  <c r="C14024" i="1"/>
  <c r="C14023" i="1"/>
  <c r="C14022" i="1"/>
  <c r="C14021" i="1"/>
  <c r="C14020" i="1"/>
  <c r="C14019" i="1"/>
  <c r="C14018" i="1"/>
  <c r="C14017" i="1"/>
  <c r="C14016" i="1"/>
  <c r="C14015" i="1"/>
  <c r="C14014" i="1"/>
  <c r="C14013" i="1"/>
  <c r="C14012" i="1"/>
  <c r="C14011" i="1"/>
  <c r="C14010" i="1"/>
  <c r="C14009" i="1"/>
  <c r="C14008" i="1"/>
  <c r="C14007" i="1"/>
  <c r="C14006" i="1"/>
  <c r="C14005" i="1"/>
  <c r="C14004" i="1"/>
  <c r="C14003" i="1"/>
  <c r="C14002" i="1"/>
  <c r="C14001" i="1"/>
  <c r="C14000" i="1"/>
  <c r="C13999" i="1"/>
  <c r="C13998" i="1"/>
  <c r="C13997" i="1"/>
  <c r="C13996" i="1"/>
  <c r="C13995" i="1"/>
  <c r="C13994" i="1"/>
  <c r="C13993" i="1"/>
  <c r="C13992" i="1"/>
  <c r="C13991" i="1"/>
  <c r="C13990" i="1"/>
  <c r="C13989" i="1"/>
  <c r="C13988" i="1"/>
  <c r="C13987" i="1"/>
  <c r="C13986" i="1"/>
  <c r="C13985" i="1"/>
  <c r="C13984" i="1"/>
  <c r="C13983" i="1"/>
  <c r="C13982" i="1"/>
  <c r="C13981" i="1"/>
  <c r="C13980" i="1"/>
  <c r="C13979" i="1"/>
  <c r="C13978" i="1"/>
  <c r="C13977" i="1"/>
  <c r="C13976" i="1"/>
  <c r="C13975" i="1"/>
  <c r="C13974" i="1"/>
  <c r="C13973" i="1"/>
  <c r="C13972" i="1"/>
  <c r="C13971" i="1"/>
  <c r="C13970" i="1"/>
  <c r="C13969" i="1"/>
  <c r="C13968" i="1"/>
  <c r="C13967" i="1"/>
  <c r="C13966" i="1"/>
  <c r="C13965" i="1"/>
  <c r="C13964" i="1"/>
  <c r="C13963" i="1"/>
  <c r="C13962" i="1"/>
  <c r="C13961" i="1"/>
  <c r="C13960" i="1"/>
  <c r="C13959" i="1"/>
  <c r="C13958" i="1"/>
  <c r="C13957" i="1"/>
  <c r="C13956" i="1"/>
  <c r="C13955" i="1"/>
  <c r="C13954" i="1"/>
  <c r="C13953" i="1"/>
  <c r="C13952" i="1"/>
  <c r="C13951" i="1"/>
  <c r="C13950" i="1"/>
  <c r="C13949" i="1"/>
  <c r="C13948" i="1"/>
  <c r="C13947" i="1"/>
  <c r="C13946" i="1"/>
  <c r="C13945" i="1"/>
  <c r="C13944" i="1"/>
  <c r="C13943" i="1"/>
  <c r="C13942" i="1"/>
  <c r="C13941" i="1"/>
  <c r="C13940" i="1"/>
  <c r="C13939" i="1"/>
  <c r="C13938" i="1"/>
  <c r="C13937" i="1"/>
  <c r="C13936" i="1"/>
  <c r="C13935" i="1"/>
  <c r="C13934" i="1"/>
  <c r="C13933" i="1"/>
  <c r="C13932" i="1"/>
  <c r="C13931" i="1"/>
  <c r="C13930" i="1"/>
  <c r="C13929" i="1"/>
  <c r="C13928" i="1"/>
  <c r="C13927" i="1"/>
  <c r="C13926" i="1"/>
  <c r="C13925" i="1"/>
  <c r="C13924" i="1"/>
  <c r="C13923" i="1"/>
  <c r="C13922" i="1"/>
  <c r="C13921" i="1"/>
  <c r="C13920" i="1"/>
  <c r="C13919" i="1"/>
  <c r="C13918" i="1"/>
  <c r="C13917" i="1"/>
  <c r="C13916" i="1"/>
  <c r="C13915" i="1"/>
  <c r="C13914" i="1"/>
  <c r="C13913" i="1"/>
  <c r="C13912" i="1"/>
  <c r="C13911" i="1"/>
  <c r="C13910" i="1"/>
  <c r="C13909" i="1"/>
  <c r="C13908" i="1"/>
  <c r="C13907" i="1"/>
  <c r="C13906" i="1"/>
  <c r="C13905" i="1"/>
  <c r="C13904" i="1"/>
  <c r="C13903" i="1"/>
  <c r="C13902" i="1"/>
  <c r="C13901" i="1"/>
  <c r="C13900" i="1"/>
  <c r="C13899" i="1"/>
  <c r="C13898" i="1"/>
  <c r="C13897" i="1"/>
  <c r="C13896" i="1"/>
  <c r="C13895" i="1"/>
  <c r="C13894" i="1"/>
  <c r="C13893" i="1"/>
  <c r="C13892" i="1"/>
  <c r="C13891" i="1"/>
  <c r="C13890" i="1"/>
  <c r="C13889" i="1"/>
  <c r="C13888" i="1"/>
  <c r="C13887" i="1"/>
  <c r="C13886" i="1"/>
  <c r="C13885" i="1"/>
  <c r="C13884" i="1"/>
  <c r="C13883" i="1"/>
  <c r="C13882" i="1"/>
  <c r="C13881" i="1"/>
  <c r="C13880" i="1"/>
  <c r="C13879" i="1"/>
  <c r="C13878" i="1"/>
  <c r="C13877" i="1"/>
  <c r="C13876" i="1"/>
  <c r="C13875" i="1"/>
  <c r="C13874" i="1"/>
  <c r="C13873" i="1"/>
  <c r="C13872" i="1"/>
  <c r="C13871" i="1"/>
  <c r="C13870" i="1"/>
  <c r="C13869" i="1"/>
  <c r="C13868" i="1"/>
  <c r="C13867" i="1"/>
  <c r="C13866" i="1"/>
  <c r="C13865" i="1"/>
  <c r="C13864" i="1"/>
  <c r="C13863" i="1"/>
  <c r="C13862" i="1"/>
  <c r="C13861" i="1"/>
  <c r="C13860" i="1"/>
  <c r="C13859" i="1"/>
  <c r="C13858" i="1"/>
  <c r="C13857" i="1"/>
  <c r="C13856" i="1"/>
  <c r="C13855" i="1"/>
  <c r="C13854" i="1"/>
  <c r="C13853" i="1"/>
  <c r="C13852" i="1"/>
  <c r="C13851" i="1"/>
  <c r="C13850" i="1"/>
  <c r="C13849" i="1"/>
  <c r="C13848" i="1"/>
  <c r="C13847" i="1"/>
  <c r="C13846" i="1"/>
  <c r="C13845" i="1"/>
  <c r="C13844" i="1"/>
  <c r="C13843" i="1"/>
  <c r="C13842" i="1"/>
  <c r="C13841" i="1"/>
  <c r="C13840" i="1"/>
  <c r="C13839" i="1"/>
  <c r="C13838" i="1"/>
  <c r="C13837" i="1"/>
  <c r="C13836" i="1"/>
  <c r="C13835" i="1"/>
  <c r="C13834" i="1"/>
  <c r="C13833" i="1"/>
  <c r="C13832" i="1"/>
  <c r="C13831" i="1"/>
  <c r="C13830" i="1"/>
  <c r="C13829" i="1"/>
  <c r="C13828" i="1"/>
  <c r="C13827" i="1"/>
  <c r="C13826" i="1"/>
  <c r="C13825" i="1"/>
  <c r="C13824" i="1"/>
  <c r="C13823" i="1"/>
  <c r="C13822" i="1"/>
  <c r="C13821" i="1"/>
  <c r="C13820" i="1"/>
  <c r="C13819" i="1"/>
  <c r="C13818" i="1"/>
  <c r="C13817" i="1"/>
  <c r="C13816" i="1"/>
  <c r="C13815" i="1"/>
  <c r="C13814" i="1"/>
  <c r="C13813" i="1"/>
  <c r="C13812" i="1"/>
  <c r="C13811" i="1"/>
  <c r="C13810" i="1"/>
  <c r="C13809" i="1"/>
  <c r="C13808" i="1"/>
  <c r="C13807" i="1"/>
  <c r="C13806" i="1"/>
  <c r="C13805" i="1"/>
  <c r="C13804" i="1"/>
  <c r="C13803" i="1"/>
  <c r="C13802" i="1"/>
  <c r="C13801" i="1"/>
  <c r="C13800" i="1"/>
  <c r="C13799" i="1"/>
  <c r="C13798" i="1"/>
  <c r="C13797" i="1"/>
  <c r="C13796" i="1"/>
  <c r="C13795" i="1"/>
  <c r="C13794" i="1"/>
  <c r="C13793" i="1"/>
  <c r="C13792" i="1"/>
  <c r="C13791" i="1"/>
  <c r="C13790" i="1"/>
  <c r="C13789" i="1"/>
  <c r="C13788" i="1"/>
  <c r="C13787" i="1"/>
  <c r="C13786" i="1"/>
  <c r="C13785" i="1"/>
  <c r="C13784" i="1"/>
  <c r="C13783" i="1"/>
  <c r="C13782" i="1"/>
  <c r="C13781" i="1"/>
  <c r="C13780" i="1"/>
  <c r="C13779" i="1"/>
  <c r="C13778" i="1"/>
  <c r="C13777" i="1"/>
  <c r="C13776" i="1"/>
  <c r="C13775" i="1"/>
  <c r="C13774" i="1"/>
  <c r="C13773" i="1"/>
  <c r="C13772" i="1"/>
  <c r="C13771" i="1"/>
  <c r="C13770" i="1"/>
  <c r="C13769" i="1"/>
  <c r="C13768" i="1"/>
  <c r="C13767" i="1"/>
  <c r="C13766" i="1"/>
  <c r="C13765" i="1"/>
  <c r="C13764" i="1"/>
  <c r="C13763" i="1"/>
  <c r="C13762" i="1"/>
  <c r="C13761" i="1"/>
  <c r="C13760" i="1"/>
  <c r="C13759" i="1"/>
  <c r="C13758" i="1"/>
  <c r="C13757" i="1"/>
  <c r="C13756" i="1"/>
  <c r="C13755" i="1"/>
  <c r="C13754" i="1"/>
  <c r="C13753" i="1"/>
  <c r="C13752" i="1"/>
  <c r="C13751" i="1"/>
  <c r="C13750" i="1"/>
  <c r="C13749" i="1"/>
  <c r="C13748" i="1"/>
  <c r="C13747" i="1"/>
  <c r="C13746" i="1"/>
  <c r="C13745" i="1"/>
  <c r="C13744" i="1"/>
  <c r="C13743" i="1"/>
  <c r="C13742" i="1"/>
  <c r="C13741" i="1"/>
  <c r="C13740" i="1"/>
  <c r="C13739" i="1"/>
  <c r="C13738" i="1"/>
  <c r="C13737" i="1"/>
  <c r="C13736" i="1"/>
  <c r="C13735" i="1"/>
  <c r="C13734" i="1"/>
  <c r="C13733" i="1"/>
  <c r="C13732" i="1"/>
  <c r="C13731" i="1"/>
  <c r="C13730" i="1"/>
  <c r="C13729" i="1"/>
  <c r="C13728" i="1"/>
  <c r="C13727" i="1"/>
  <c r="C13726" i="1"/>
  <c r="C13725" i="1"/>
  <c r="C13724" i="1"/>
  <c r="C13723" i="1"/>
  <c r="C13722" i="1"/>
  <c r="C13721" i="1"/>
  <c r="C13720" i="1"/>
  <c r="C13719" i="1"/>
  <c r="C13718" i="1"/>
  <c r="C13717" i="1"/>
  <c r="C13716" i="1"/>
  <c r="C13715" i="1"/>
  <c r="C13714" i="1"/>
  <c r="C13713" i="1"/>
  <c r="C13712" i="1"/>
  <c r="C13711" i="1"/>
  <c r="C13710" i="1"/>
  <c r="C13709" i="1"/>
  <c r="C13708" i="1"/>
  <c r="C13707" i="1"/>
  <c r="C13706" i="1"/>
  <c r="C13705" i="1"/>
  <c r="C13704" i="1"/>
  <c r="C13703" i="1"/>
  <c r="C13702" i="1"/>
  <c r="C13701" i="1"/>
  <c r="C13700" i="1"/>
  <c r="C13699" i="1"/>
  <c r="C13698" i="1"/>
  <c r="C13697" i="1"/>
  <c r="C13696" i="1"/>
  <c r="C13695" i="1"/>
  <c r="C13694" i="1"/>
  <c r="C13693" i="1"/>
  <c r="C13692" i="1"/>
  <c r="C13691" i="1"/>
  <c r="C13690" i="1"/>
  <c r="C13689" i="1"/>
  <c r="C13688" i="1"/>
  <c r="C13687" i="1"/>
  <c r="C13686" i="1"/>
  <c r="C13685" i="1"/>
  <c r="C13684" i="1"/>
  <c r="C13683" i="1"/>
  <c r="C13682" i="1"/>
  <c r="C13681" i="1"/>
  <c r="C13680" i="1"/>
  <c r="C13679" i="1"/>
  <c r="C13678" i="1"/>
  <c r="C13677" i="1"/>
  <c r="C13676" i="1"/>
  <c r="C13675" i="1"/>
  <c r="C13674" i="1"/>
  <c r="C13673" i="1"/>
  <c r="C13672" i="1"/>
  <c r="C13671" i="1"/>
  <c r="C13670" i="1"/>
  <c r="C13669" i="1"/>
  <c r="C13668" i="1"/>
  <c r="C13667" i="1"/>
  <c r="C13666" i="1"/>
  <c r="C13665" i="1"/>
  <c r="C13664" i="1"/>
  <c r="C13663" i="1"/>
  <c r="C13662" i="1"/>
  <c r="C13661" i="1"/>
  <c r="C13660" i="1"/>
  <c r="C13659" i="1"/>
  <c r="C13658" i="1"/>
  <c r="C13657" i="1"/>
  <c r="C13656" i="1"/>
  <c r="C13655" i="1"/>
  <c r="C13654" i="1"/>
  <c r="C13653" i="1"/>
  <c r="C13652" i="1"/>
  <c r="C13651" i="1"/>
  <c r="C13650" i="1"/>
  <c r="C13649" i="1"/>
  <c r="C13648" i="1"/>
  <c r="C13647" i="1"/>
  <c r="C13646" i="1"/>
  <c r="C13645" i="1"/>
  <c r="C13644" i="1"/>
  <c r="C13643" i="1"/>
  <c r="C13642" i="1"/>
  <c r="C13641" i="1"/>
  <c r="C13640" i="1"/>
  <c r="C13639" i="1"/>
  <c r="C13638" i="1"/>
  <c r="C13637" i="1"/>
  <c r="C13636" i="1"/>
  <c r="C13635" i="1"/>
  <c r="C13634" i="1"/>
  <c r="C13633" i="1"/>
  <c r="C13632" i="1"/>
  <c r="C13631" i="1"/>
  <c r="C13630" i="1"/>
  <c r="C13629" i="1"/>
  <c r="C13628" i="1"/>
  <c r="C13627" i="1"/>
  <c r="C13626" i="1"/>
  <c r="C13625" i="1"/>
  <c r="C13624" i="1"/>
  <c r="C13623" i="1"/>
  <c r="C13622" i="1"/>
  <c r="C13621" i="1"/>
  <c r="C13620" i="1"/>
  <c r="C13619" i="1"/>
  <c r="C13618" i="1"/>
  <c r="C13617" i="1"/>
  <c r="C13616" i="1"/>
  <c r="C13615" i="1"/>
  <c r="C13614" i="1"/>
  <c r="C13613" i="1"/>
  <c r="C13612" i="1"/>
  <c r="C13611" i="1"/>
  <c r="C13610" i="1"/>
  <c r="C13609" i="1"/>
  <c r="C13608" i="1"/>
  <c r="C13607" i="1"/>
  <c r="C13606" i="1"/>
  <c r="C13605" i="1"/>
  <c r="C13604" i="1"/>
  <c r="C13603" i="1"/>
  <c r="C13602" i="1"/>
  <c r="C13601" i="1"/>
  <c r="C13600" i="1"/>
  <c r="C13599" i="1"/>
  <c r="C13598" i="1"/>
  <c r="C13597" i="1"/>
  <c r="C13596" i="1"/>
  <c r="C13595" i="1"/>
  <c r="C13594" i="1"/>
  <c r="C13593" i="1"/>
  <c r="C13592" i="1"/>
  <c r="C13591" i="1"/>
  <c r="C13590" i="1"/>
  <c r="C13589" i="1"/>
  <c r="C13588" i="1"/>
  <c r="C13587" i="1"/>
  <c r="C13586" i="1"/>
  <c r="C13585" i="1"/>
  <c r="C13584" i="1"/>
  <c r="C13583" i="1"/>
  <c r="C13582" i="1"/>
  <c r="C13581" i="1"/>
  <c r="C13580" i="1"/>
  <c r="C13579" i="1"/>
  <c r="C13578" i="1"/>
  <c r="C13577" i="1"/>
  <c r="C13576" i="1"/>
  <c r="C13575" i="1"/>
  <c r="C13574" i="1"/>
  <c r="C13573" i="1"/>
  <c r="C13572" i="1"/>
  <c r="C13571" i="1"/>
  <c r="C13570" i="1"/>
  <c r="C13569" i="1"/>
  <c r="C13568" i="1"/>
  <c r="C13567" i="1"/>
  <c r="C13566" i="1"/>
  <c r="C13565" i="1"/>
  <c r="C13564" i="1"/>
  <c r="C13563" i="1"/>
  <c r="C13562" i="1"/>
  <c r="C13561" i="1"/>
  <c r="C13560" i="1"/>
  <c r="C13559" i="1"/>
  <c r="C13558" i="1"/>
  <c r="C13557" i="1"/>
  <c r="C13556" i="1"/>
  <c r="C13555" i="1"/>
  <c r="C13554" i="1"/>
  <c r="C13553" i="1"/>
  <c r="C13552" i="1"/>
  <c r="C13551" i="1"/>
  <c r="C13550" i="1"/>
  <c r="C13549" i="1"/>
  <c r="C13548" i="1"/>
  <c r="C13547" i="1"/>
  <c r="C13546" i="1"/>
  <c r="C13545" i="1"/>
  <c r="C13544" i="1"/>
  <c r="C13543" i="1"/>
  <c r="C13542" i="1"/>
  <c r="C13541" i="1"/>
  <c r="C13540" i="1"/>
  <c r="C13539" i="1"/>
  <c r="C13538" i="1"/>
  <c r="C13537" i="1"/>
  <c r="C13536" i="1"/>
  <c r="C13535" i="1"/>
  <c r="C13534" i="1"/>
  <c r="C13533" i="1"/>
  <c r="C13532" i="1"/>
  <c r="C13531" i="1"/>
  <c r="C13530" i="1"/>
  <c r="C13529" i="1"/>
  <c r="C13528" i="1"/>
  <c r="C13527" i="1"/>
  <c r="C13526" i="1"/>
  <c r="C13525" i="1"/>
  <c r="C13524" i="1"/>
  <c r="C13523" i="1"/>
  <c r="C13522" i="1"/>
  <c r="C13521" i="1"/>
  <c r="C13520" i="1"/>
  <c r="C13519" i="1"/>
  <c r="C13518" i="1"/>
  <c r="C13517" i="1"/>
  <c r="C13516" i="1"/>
  <c r="C13515" i="1"/>
  <c r="C13514" i="1"/>
  <c r="C13513" i="1"/>
  <c r="C13512" i="1"/>
  <c r="C13511" i="1"/>
  <c r="C13510" i="1"/>
  <c r="C13509" i="1"/>
  <c r="C13508" i="1"/>
  <c r="C13507" i="1"/>
  <c r="C13506" i="1"/>
  <c r="C13505" i="1"/>
  <c r="C13504" i="1"/>
  <c r="C13503" i="1"/>
  <c r="C13502" i="1"/>
  <c r="C13501" i="1"/>
  <c r="C13500" i="1"/>
  <c r="C13499" i="1"/>
  <c r="C13498" i="1"/>
  <c r="C13497" i="1"/>
  <c r="C13496" i="1"/>
  <c r="C13495" i="1"/>
  <c r="C13494" i="1"/>
  <c r="C13493" i="1"/>
  <c r="C13492" i="1"/>
  <c r="C13491" i="1"/>
  <c r="C13490" i="1"/>
  <c r="C13489" i="1"/>
  <c r="C13488" i="1"/>
  <c r="C13487" i="1"/>
  <c r="C13486" i="1"/>
  <c r="C13485" i="1"/>
  <c r="C13484" i="1"/>
  <c r="C13483" i="1"/>
  <c r="C13482" i="1"/>
  <c r="C13481" i="1"/>
  <c r="C13480" i="1"/>
  <c r="C13479" i="1"/>
  <c r="C13478" i="1"/>
  <c r="C13477" i="1"/>
  <c r="C13476" i="1"/>
  <c r="C13475" i="1"/>
  <c r="C13474" i="1"/>
  <c r="C13473" i="1"/>
  <c r="C13472" i="1"/>
  <c r="C13471" i="1"/>
  <c r="C13470" i="1"/>
  <c r="C13469" i="1"/>
  <c r="C13468" i="1"/>
  <c r="C13467" i="1"/>
  <c r="C13466" i="1"/>
  <c r="C13465" i="1"/>
  <c r="C13464" i="1"/>
  <c r="C13463" i="1"/>
  <c r="C13462" i="1"/>
  <c r="C13461" i="1"/>
  <c r="C13460" i="1"/>
  <c r="C13459" i="1"/>
  <c r="C13458" i="1"/>
  <c r="C13457" i="1"/>
  <c r="C13456" i="1"/>
  <c r="C13455" i="1"/>
  <c r="C13454" i="1"/>
  <c r="C13453" i="1"/>
  <c r="C13452" i="1"/>
  <c r="C13451" i="1"/>
  <c r="C13450" i="1"/>
  <c r="C13449" i="1"/>
  <c r="C13448" i="1"/>
  <c r="C13447" i="1"/>
  <c r="C13446" i="1"/>
  <c r="C13445" i="1"/>
  <c r="C13444" i="1"/>
  <c r="C13443" i="1"/>
  <c r="C13442" i="1"/>
  <c r="C13441" i="1"/>
  <c r="C13440" i="1"/>
  <c r="C13439" i="1"/>
  <c r="C13438" i="1"/>
  <c r="C13437" i="1"/>
  <c r="C13436" i="1"/>
  <c r="C13435" i="1"/>
  <c r="C13434" i="1"/>
  <c r="C13433" i="1"/>
  <c r="C13432" i="1"/>
  <c r="C13431" i="1"/>
  <c r="C13430" i="1"/>
  <c r="C13429" i="1"/>
  <c r="C13428" i="1"/>
  <c r="C13427" i="1"/>
  <c r="C13426" i="1"/>
  <c r="C13425" i="1"/>
  <c r="C13424" i="1"/>
  <c r="C13423" i="1"/>
  <c r="C13422" i="1"/>
  <c r="C13421" i="1"/>
  <c r="C13420" i="1"/>
  <c r="C13419" i="1"/>
  <c r="C13418" i="1"/>
  <c r="C13417" i="1"/>
  <c r="C13416" i="1"/>
  <c r="C13415" i="1"/>
  <c r="C13414" i="1"/>
  <c r="C13413" i="1"/>
  <c r="C13412" i="1"/>
  <c r="C13411" i="1"/>
  <c r="C13410" i="1"/>
  <c r="C13409" i="1"/>
  <c r="C13408" i="1"/>
  <c r="C13407" i="1"/>
  <c r="C13406" i="1"/>
  <c r="C13405" i="1"/>
  <c r="C13404" i="1"/>
  <c r="C13403" i="1"/>
  <c r="C13402" i="1"/>
  <c r="C13401" i="1"/>
  <c r="C13400" i="1"/>
  <c r="C13399" i="1"/>
  <c r="C13398" i="1"/>
  <c r="C13397" i="1"/>
  <c r="C13396" i="1"/>
  <c r="C13395" i="1"/>
  <c r="C13394" i="1"/>
  <c r="C13393" i="1"/>
  <c r="C13392" i="1"/>
  <c r="C13391" i="1"/>
  <c r="C13390" i="1"/>
  <c r="C13389" i="1"/>
  <c r="C13388" i="1"/>
  <c r="C13387" i="1"/>
  <c r="C13386" i="1"/>
  <c r="C13385" i="1"/>
  <c r="C13384" i="1"/>
  <c r="C13383" i="1"/>
  <c r="C13382" i="1"/>
  <c r="C13381" i="1"/>
  <c r="C13380" i="1"/>
  <c r="C13379" i="1"/>
  <c r="C13378" i="1"/>
  <c r="C13377" i="1"/>
  <c r="C13376" i="1"/>
  <c r="C13375" i="1"/>
  <c r="C13374" i="1"/>
  <c r="C13373" i="1"/>
  <c r="C13372" i="1"/>
  <c r="C13371" i="1"/>
  <c r="C13370" i="1"/>
  <c r="C13369" i="1"/>
  <c r="C13368" i="1"/>
  <c r="C13367" i="1"/>
  <c r="C13366" i="1"/>
  <c r="C13365" i="1"/>
  <c r="C13364" i="1"/>
  <c r="C13363" i="1"/>
  <c r="C13362" i="1"/>
  <c r="C13361" i="1"/>
  <c r="C13360" i="1"/>
  <c r="C13359" i="1"/>
  <c r="C13358" i="1"/>
  <c r="C13357" i="1"/>
  <c r="C13356" i="1"/>
  <c r="C13355" i="1"/>
  <c r="C13354" i="1"/>
  <c r="C13353" i="1"/>
  <c r="C13352" i="1"/>
  <c r="C13351" i="1"/>
  <c r="C13350" i="1"/>
  <c r="C13349" i="1"/>
  <c r="C13348" i="1"/>
  <c r="C13347" i="1"/>
  <c r="C13346" i="1"/>
  <c r="C13345" i="1"/>
  <c r="C13344" i="1"/>
  <c r="C13343" i="1"/>
  <c r="C13342" i="1"/>
  <c r="C13341" i="1"/>
  <c r="C13340" i="1"/>
  <c r="C13339" i="1"/>
  <c r="C13338" i="1"/>
  <c r="C13337" i="1"/>
  <c r="C13336" i="1"/>
  <c r="C13335" i="1"/>
  <c r="C13334" i="1"/>
  <c r="C13333" i="1"/>
  <c r="C13332" i="1"/>
  <c r="C13331" i="1"/>
  <c r="C13330" i="1"/>
  <c r="C13329" i="1"/>
  <c r="C13328" i="1"/>
  <c r="C13327" i="1"/>
  <c r="C13326" i="1"/>
  <c r="C13325" i="1"/>
  <c r="C13324" i="1"/>
  <c r="C13323" i="1"/>
  <c r="C13322" i="1"/>
  <c r="C13321" i="1"/>
  <c r="C13320" i="1"/>
  <c r="C13319" i="1"/>
  <c r="C13318" i="1"/>
  <c r="C13317" i="1"/>
  <c r="C13316" i="1"/>
  <c r="C13315" i="1"/>
  <c r="C13314" i="1"/>
  <c r="C13313" i="1"/>
  <c r="C13312" i="1"/>
  <c r="C13311" i="1"/>
  <c r="C13310" i="1"/>
  <c r="C13309" i="1"/>
  <c r="C13308" i="1"/>
  <c r="C13307" i="1"/>
  <c r="C13306" i="1"/>
  <c r="C13305" i="1"/>
  <c r="C13304" i="1"/>
  <c r="C13303" i="1"/>
  <c r="C13302" i="1"/>
  <c r="C13301" i="1"/>
  <c r="C13300" i="1"/>
  <c r="C13299" i="1"/>
  <c r="C13298" i="1"/>
  <c r="C13297" i="1"/>
  <c r="C13296" i="1"/>
  <c r="C13295" i="1"/>
  <c r="C13294" i="1"/>
  <c r="C13293" i="1"/>
  <c r="C13292" i="1"/>
  <c r="C13291" i="1"/>
  <c r="C13290" i="1"/>
  <c r="C13289" i="1"/>
  <c r="C13288" i="1"/>
  <c r="C13287" i="1"/>
  <c r="C13286" i="1"/>
  <c r="C13285" i="1"/>
  <c r="C13284" i="1"/>
  <c r="C13283" i="1"/>
  <c r="C13282" i="1"/>
  <c r="C13281" i="1"/>
  <c r="C13280" i="1"/>
  <c r="C13279" i="1"/>
  <c r="C13278" i="1"/>
  <c r="C13277" i="1"/>
  <c r="C13276" i="1"/>
  <c r="C13275" i="1"/>
  <c r="C13274" i="1"/>
  <c r="C13273" i="1"/>
  <c r="C13272" i="1"/>
  <c r="C13271" i="1"/>
  <c r="C13270" i="1"/>
  <c r="C13269" i="1"/>
  <c r="C13268" i="1"/>
  <c r="C13267" i="1"/>
  <c r="C13266" i="1"/>
  <c r="C13265" i="1"/>
  <c r="C13264" i="1"/>
  <c r="C13263" i="1"/>
  <c r="C13262" i="1"/>
  <c r="C13261" i="1"/>
  <c r="C13260" i="1"/>
  <c r="C13259" i="1"/>
  <c r="C13258" i="1"/>
  <c r="C13257" i="1"/>
  <c r="C13256" i="1"/>
  <c r="C13255" i="1"/>
  <c r="C13254" i="1"/>
  <c r="C13253" i="1"/>
  <c r="C13252" i="1"/>
  <c r="C13251" i="1"/>
  <c r="C13250" i="1"/>
  <c r="C13249" i="1"/>
  <c r="C13248" i="1"/>
  <c r="C13247" i="1"/>
  <c r="C13246" i="1"/>
  <c r="C13245" i="1"/>
  <c r="C13244" i="1"/>
  <c r="C13243" i="1"/>
  <c r="C13242" i="1"/>
  <c r="C13241" i="1"/>
  <c r="C13240" i="1"/>
  <c r="C13239" i="1"/>
  <c r="C13238" i="1"/>
  <c r="C13237" i="1"/>
  <c r="C13236" i="1"/>
  <c r="C13235" i="1"/>
  <c r="C13234" i="1"/>
  <c r="C13233" i="1"/>
  <c r="C13232" i="1"/>
  <c r="C13231" i="1"/>
  <c r="C13230" i="1"/>
  <c r="C13229" i="1"/>
  <c r="C13228" i="1"/>
  <c r="C13227" i="1"/>
  <c r="C13226" i="1"/>
  <c r="C13225" i="1"/>
  <c r="C13224" i="1"/>
  <c r="C13223" i="1"/>
  <c r="C13222" i="1"/>
  <c r="C13221" i="1"/>
  <c r="C13220" i="1"/>
  <c r="C13219" i="1"/>
  <c r="C13218" i="1"/>
  <c r="C13217" i="1"/>
  <c r="C13216" i="1"/>
  <c r="C13215" i="1"/>
  <c r="C13214" i="1"/>
  <c r="C13213" i="1"/>
  <c r="C13212" i="1"/>
  <c r="C13211" i="1"/>
  <c r="C13210" i="1"/>
  <c r="C13209" i="1"/>
  <c r="C13208" i="1"/>
  <c r="C13207" i="1"/>
  <c r="C13206" i="1"/>
  <c r="C13205" i="1"/>
  <c r="C13204" i="1"/>
  <c r="C13203" i="1"/>
  <c r="C13202" i="1"/>
  <c r="C13201" i="1"/>
  <c r="C13200" i="1"/>
  <c r="C13199" i="1"/>
  <c r="C13198" i="1"/>
  <c r="C13197" i="1"/>
  <c r="C13196" i="1"/>
  <c r="C13195" i="1"/>
  <c r="C13194" i="1"/>
  <c r="C13193" i="1"/>
  <c r="C13192" i="1"/>
  <c r="C13191" i="1"/>
  <c r="C13190" i="1"/>
  <c r="C13189" i="1"/>
  <c r="C13188" i="1"/>
  <c r="C13187" i="1"/>
  <c r="C13186" i="1"/>
  <c r="C13185" i="1"/>
  <c r="C13184" i="1"/>
  <c r="C13183" i="1"/>
  <c r="C13182" i="1"/>
  <c r="C13181" i="1"/>
  <c r="C13180" i="1"/>
  <c r="C13179" i="1"/>
  <c r="C13178" i="1"/>
  <c r="C13177" i="1"/>
  <c r="C13176" i="1"/>
  <c r="C13175" i="1"/>
  <c r="C13174" i="1"/>
  <c r="C13173" i="1"/>
  <c r="C13172" i="1"/>
  <c r="C13171" i="1"/>
  <c r="C13170" i="1"/>
  <c r="C13169" i="1"/>
  <c r="C13168" i="1"/>
  <c r="C13167" i="1"/>
  <c r="C13166" i="1"/>
  <c r="C13165" i="1"/>
  <c r="C13164" i="1"/>
  <c r="C13163" i="1"/>
  <c r="C13162" i="1"/>
  <c r="C13161" i="1"/>
  <c r="C13160" i="1"/>
  <c r="C13159" i="1"/>
  <c r="C13158" i="1"/>
  <c r="C13157" i="1"/>
  <c r="C13156" i="1"/>
  <c r="C13155" i="1"/>
  <c r="C13154" i="1"/>
  <c r="C13153" i="1"/>
  <c r="C13152" i="1"/>
  <c r="C13151" i="1"/>
  <c r="C13150" i="1"/>
  <c r="C13149" i="1"/>
  <c r="C13148" i="1"/>
  <c r="C13147" i="1"/>
  <c r="C13146" i="1"/>
  <c r="C13145" i="1"/>
  <c r="C13144" i="1"/>
  <c r="C13143" i="1"/>
  <c r="C13142" i="1"/>
  <c r="C13141" i="1"/>
  <c r="C13140" i="1"/>
  <c r="C13139" i="1"/>
  <c r="C13138" i="1"/>
  <c r="C13137" i="1"/>
  <c r="C13136" i="1"/>
  <c r="C13135" i="1"/>
  <c r="C13134" i="1"/>
  <c r="C13133" i="1"/>
  <c r="C13132" i="1"/>
  <c r="C13131" i="1"/>
  <c r="C13130" i="1"/>
  <c r="C13129" i="1"/>
  <c r="C13128" i="1"/>
  <c r="C13127" i="1"/>
  <c r="C13126" i="1"/>
  <c r="C13125" i="1"/>
  <c r="C13124" i="1"/>
  <c r="C13123" i="1"/>
  <c r="C13122" i="1"/>
  <c r="C13121" i="1"/>
  <c r="C13120" i="1"/>
  <c r="C13119" i="1"/>
  <c r="C13118" i="1"/>
  <c r="C13117" i="1"/>
  <c r="C13116" i="1"/>
  <c r="C13115" i="1"/>
  <c r="C13114" i="1"/>
  <c r="C13113" i="1"/>
  <c r="C13112" i="1"/>
  <c r="C13111" i="1"/>
  <c r="C13110" i="1"/>
  <c r="C13109" i="1"/>
  <c r="C13108" i="1"/>
  <c r="C13107" i="1"/>
  <c r="C13106" i="1"/>
  <c r="C13105" i="1"/>
  <c r="C13104" i="1"/>
  <c r="C13103" i="1"/>
  <c r="C13102" i="1"/>
  <c r="C13101" i="1"/>
  <c r="C13100" i="1"/>
  <c r="C13099" i="1"/>
  <c r="C13098" i="1"/>
  <c r="C13097" i="1"/>
  <c r="C13096" i="1"/>
  <c r="C13095" i="1"/>
  <c r="C13094" i="1"/>
  <c r="C13093" i="1"/>
  <c r="C13092" i="1"/>
  <c r="C13091" i="1"/>
  <c r="C13090" i="1"/>
  <c r="C13089" i="1"/>
  <c r="C13088" i="1"/>
  <c r="C13087" i="1"/>
  <c r="C13086" i="1"/>
  <c r="C13085" i="1"/>
  <c r="C13084" i="1"/>
  <c r="C13083" i="1"/>
  <c r="C13082" i="1"/>
  <c r="C13081" i="1"/>
  <c r="C13080" i="1"/>
  <c r="C13079" i="1"/>
  <c r="C13078" i="1"/>
  <c r="C13077" i="1"/>
  <c r="C13076" i="1"/>
  <c r="C13075" i="1"/>
  <c r="C13074" i="1"/>
  <c r="C13073" i="1"/>
  <c r="C13072" i="1"/>
  <c r="C13071" i="1"/>
  <c r="C13070" i="1"/>
  <c r="C13069" i="1"/>
  <c r="C13068" i="1"/>
  <c r="C13067" i="1"/>
  <c r="C13066" i="1"/>
  <c r="C13065" i="1"/>
  <c r="C13064" i="1"/>
  <c r="C13063" i="1"/>
  <c r="C13062" i="1"/>
  <c r="C13061" i="1"/>
  <c r="C13060" i="1"/>
  <c r="C13059" i="1"/>
  <c r="C13058" i="1"/>
  <c r="C13057" i="1"/>
  <c r="C13056" i="1"/>
  <c r="C13055" i="1"/>
  <c r="C13054" i="1"/>
  <c r="C13053" i="1"/>
  <c r="C13052" i="1"/>
  <c r="C13051" i="1"/>
  <c r="C13050" i="1"/>
  <c r="C13049" i="1"/>
  <c r="C13048" i="1"/>
  <c r="C13047" i="1"/>
  <c r="C13046" i="1"/>
  <c r="C13045" i="1"/>
  <c r="C13044" i="1"/>
  <c r="C13043" i="1"/>
  <c r="C13042" i="1"/>
  <c r="C13041" i="1"/>
  <c r="C13040" i="1"/>
  <c r="C13039" i="1"/>
  <c r="C13038" i="1"/>
  <c r="C13037" i="1"/>
  <c r="C13036" i="1"/>
  <c r="C13035" i="1"/>
  <c r="C13034" i="1"/>
  <c r="C13033" i="1"/>
  <c r="C13032" i="1"/>
  <c r="C13031" i="1"/>
  <c r="C13030" i="1"/>
  <c r="C13029" i="1"/>
  <c r="C13028" i="1"/>
  <c r="C13027" i="1"/>
  <c r="C13026" i="1"/>
  <c r="C13025" i="1"/>
  <c r="C13024" i="1"/>
  <c r="C13023" i="1"/>
  <c r="C13022" i="1"/>
  <c r="C13021" i="1"/>
  <c r="C13020" i="1"/>
  <c r="C13019" i="1"/>
  <c r="C13018" i="1"/>
  <c r="C13017" i="1"/>
  <c r="C13016" i="1"/>
  <c r="C13015" i="1"/>
  <c r="C13014" i="1"/>
  <c r="C13013" i="1"/>
  <c r="C13012" i="1"/>
  <c r="C13011" i="1"/>
  <c r="C13010" i="1"/>
  <c r="C13009" i="1"/>
  <c r="C13008" i="1"/>
  <c r="C13007" i="1"/>
  <c r="C13006" i="1"/>
  <c r="C13005" i="1"/>
  <c r="C13004" i="1"/>
  <c r="C13003" i="1"/>
  <c r="C13002" i="1"/>
  <c r="C13001" i="1"/>
  <c r="C13000" i="1"/>
  <c r="C12999" i="1"/>
  <c r="C12998" i="1"/>
  <c r="C12997" i="1"/>
  <c r="C12996" i="1"/>
  <c r="C12995" i="1"/>
  <c r="C12994" i="1"/>
  <c r="C12993" i="1"/>
  <c r="C12992" i="1"/>
  <c r="C12991" i="1"/>
  <c r="C12990" i="1"/>
  <c r="C12989" i="1"/>
  <c r="C12988" i="1"/>
  <c r="C12987" i="1"/>
  <c r="C12986" i="1"/>
  <c r="C12985" i="1"/>
  <c r="C12984" i="1"/>
  <c r="C12983" i="1"/>
  <c r="C12982" i="1"/>
  <c r="C12981" i="1"/>
  <c r="C12980" i="1"/>
  <c r="C12979" i="1"/>
  <c r="C12978" i="1"/>
  <c r="C12977" i="1"/>
  <c r="C12976" i="1"/>
  <c r="C12975" i="1"/>
  <c r="C12974" i="1"/>
  <c r="C12973" i="1"/>
  <c r="C12972" i="1"/>
  <c r="C12971" i="1"/>
  <c r="C12970" i="1"/>
  <c r="C12969" i="1"/>
  <c r="C12968" i="1"/>
  <c r="C12967" i="1"/>
  <c r="C12966" i="1"/>
  <c r="C12965" i="1"/>
  <c r="C12964" i="1"/>
  <c r="C12963" i="1"/>
  <c r="C12962" i="1"/>
  <c r="C12961" i="1"/>
  <c r="C12960" i="1"/>
  <c r="C12959" i="1"/>
  <c r="C12958" i="1"/>
  <c r="C12957" i="1"/>
  <c r="C12956" i="1"/>
  <c r="C12955" i="1"/>
  <c r="C12954" i="1"/>
  <c r="C12953" i="1"/>
  <c r="C12952" i="1"/>
  <c r="C12951" i="1"/>
  <c r="C12950" i="1"/>
  <c r="C12949" i="1"/>
  <c r="C12948" i="1"/>
  <c r="C12947" i="1"/>
  <c r="C12946" i="1"/>
  <c r="C12945" i="1"/>
  <c r="C12944" i="1"/>
  <c r="C12943" i="1"/>
  <c r="C12942" i="1"/>
  <c r="C12941" i="1"/>
  <c r="C12940" i="1"/>
  <c r="C12939" i="1"/>
  <c r="C12938" i="1"/>
  <c r="C12937" i="1"/>
  <c r="C12936" i="1"/>
  <c r="C12935" i="1"/>
  <c r="C12934" i="1"/>
  <c r="C12933" i="1"/>
  <c r="C12932" i="1"/>
  <c r="C12931" i="1"/>
  <c r="C12930" i="1"/>
  <c r="C12929" i="1"/>
  <c r="C12928" i="1"/>
  <c r="C12927" i="1"/>
  <c r="C12926" i="1"/>
  <c r="C12925" i="1"/>
  <c r="C12924" i="1"/>
  <c r="C12923" i="1"/>
  <c r="C12922" i="1"/>
  <c r="C12921" i="1"/>
  <c r="C12920" i="1"/>
  <c r="C12919" i="1"/>
  <c r="C12918" i="1"/>
  <c r="C12917" i="1"/>
  <c r="C12916" i="1"/>
  <c r="C12915" i="1"/>
  <c r="C12914" i="1"/>
  <c r="C12913" i="1"/>
  <c r="C12912" i="1"/>
  <c r="C12911" i="1"/>
  <c r="C12910" i="1"/>
  <c r="C12909" i="1"/>
  <c r="C12908" i="1"/>
  <c r="C12907" i="1"/>
  <c r="C12906" i="1"/>
  <c r="C12905" i="1"/>
  <c r="C12904" i="1"/>
  <c r="C12903" i="1"/>
  <c r="C12902" i="1"/>
  <c r="C12901" i="1"/>
  <c r="C12900" i="1"/>
  <c r="C12899" i="1"/>
  <c r="C12898" i="1"/>
  <c r="C12897" i="1"/>
  <c r="C12896" i="1"/>
  <c r="C12895" i="1"/>
  <c r="C12894" i="1"/>
  <c r="C12893" i="1"/>
  <c r="C12892" i="1"/>
  <c r="C12891" i="1"/>
  <c r="C12890" i="1"/>
  <c r="C12889" i="1"/>
  <c r="C12888" i="1"/>
  <c r="C12887" i="1"/>
  <c r="C12886" i="1"/>
  <c r="C12885" i="1"/>
  <c r="C12884" i="1"/>
  <c r="C12883" i="1"/>
  <c r="C12882" i="1"/>
  <c r="C12881" i="1"/>
  <c r="C12880" i="1"/>
  <c r="C12879" i="1"/>
  <c r="C12878" i="1"/>
  <c r="C12877" i="1"/>
  <c r="C12876" i="1"/>
  <c r="C12875" i="1"/>
  <c r="C12874" i="1"/>
  <c r="C12873" i="1"/>
  <c r="C12872" i="1"/>
  <c r="C12871" i="1"/>
  <c r="C12870" i="1"/>
  <c r="C12869" i="1"/>
  <c r="C12868" i="1"/>
  <c r="C12867" i="1"/>
  <c r="C12866" i="1"/>
  <c r="C12865" i="1"/>
  <c r="C12864" i="1"/>
  <c r="C12863" i="1"/>
  <c r="C12862" i="1"/>
  <c r="C12861" i="1"/>
  <c r="C12860" i="1"/>
  <c r="C12859" i="1"/>
  <c r="C12858" i="1"/>
  <c r="C12857" i="1"/>
  <c r="C12856" i="1"/>
  <c r="C12855" i="1"/>
  <c r="C12854" i="1"/>
  <c r="C12853" i="1"/>
  <c r="C12852" i="1"/>
  <c r="C12851" i="1"/>
  <c r="C12850" i="1"/>
  <c r="C12849" i="1"/>
  <c r="C12848" i="1"/>
  <c r="C12847" i="1"/>
  <c r="C12846" i="1"/>
  <c r="C12845" i="1"/>
  <c r="C12844" i="1"/>
  <c r="C12843" i="1"/>
  <c r="C12842" i="1"/>
  <c r="C12841" i="1"/>
  <c r="C12840" i="1"/>
  <c r="C12839" i="1"/>
  <c r="C12838" i="1"/>
  <c r="C12837" i="1"/>
  <c r="C12836" i="1"/>
  <c r="C12835" i="1"/>
  <c r="C12834" i="1"/>
  <c r="C12833" i="1"/>
  <c r="C12832" i="1"/>
  <c r="C12831" i="1"/>
  <c r="C12830" i="1"/>
  <c r="C12829" i="1"/>
  <c r="C12828" i="1"/>
  <c r="C12827" i="1"/>
  <c r="C12826" i="1"/>
  <c r="C12825" i="1"/>
  <c r="C12824" i="1"/>
  <c r="C12823" i="1"/>
  <c r="C12822" i="1"/>
  <c r="C12821" i="1"/>
  <c r="C12820" i="1"/>
  <c r="C12819" i="1"/>
  <c r="C12818" i="1"/>
  <c r="C12817" i="1"/>
  <c r="C12816" i="1"/>
  <c r="C12815" i="1"/>
  <c r="C12814" i="1"/>
  <c r="C12813" i="1"/>
  <c r="C12812" i="1"/>
  <c r="C12811" i="1"/>
  <c r="C12810" i="1"/>
  <c r="C12809" i="1"/>
  <c r="C12808" i="1"/>
  <c r="C12807" i="1"/>
  <c r="C12806" i="1"/>
  <c r="C12805" i="1"/>
  <c r="C12804" i="1"/>
  <c r="C12803" i="1"/>
  <c r="C12802" i="1"/>
  <c r="C12801" i="1"/>
  <c r="C12800" i="1"/>
  <c r="C12799" i="1"/>
  <c r="C12798" i="1"/>
  <c r="C12797" i="1"/>
  <c r="C12796" i="1"/>
  <c r="C12795" i="1"/>
  <c r="C12794" i="1"/>
  <c r="C12793" i="1"/>
  <c r="C12792" i="1"/>
  <c r="C12791" i="1"/>
  <c r="C12790" i="1"/>
  <c r="C12789" i="1"/>
  <c r="C12788" i="1"/>
  <c r="C12787" i="1"/>
  <c r="C12786" i="1"/>
  <c r="C12785" i="1"/>
  <c r="C12784" i="1"/>
  <c r="C12783" i="1"/>
  <c r="C12782" i="1"/>
  <c r="C12781" i="1"/>
  <c r="C12780" i="1"/>
  <c r="C12779" i="1"/>
  <c r="C12778" i="1"/>
  <c r="C12777" i="1"/>
  <c r="C12776" i="1"/>
  <c r="C12775" i="1"/>
  <c r="C12774" i="1"/>
  <c r="C12773" i="1"/>
  <c r="C12772" i="1"/>
  <c r="C12771" i="1"/>
  <c r="C12770" i="1"/>
  <c r="C12769" i="1"/>
  <c r="C12768" i="1"/>
  <c r="C12767" i="1"/>
  <c r="C12766" i="1"/>
  <c r="C12765" i="1"/>
  <c r="C12764" i="1"/>
  <c r="C12763" i="1"/>
  <c r="C12762" i="1"/>
  <c r="C12761" i="1"/>
  <c r="C12760" i="1"/>
  <c r="C12759" i="1"/>
  <c r="C12758" i="1"/>
  <c r="C12757" i="1"/>
  <c r="C12756" i="1"/>
  <c r="C12755" i="1"/>
  <c r="C12754" i="1"/>
  <c r="C12753" i="1"/>
  <c r="C12752" i="1"/>
  <c r="C12751" i="1"/>
  <c r="C12750" i="1"/>
  <c r="C12749" i="1"/>
  <c r="C12748" i="1"/>
  <c r="C12747" i="1"/>
  <c r="C12746" i="1"/>
  <c r="C12745" i="1"/>
  <c r="C12744" i="1"/>
  <c r="C12743" i="1"/>
  <c r="C12742" i="1"/>
  <c r="C12741" i="1"/>
  <c r="C12740" i="1"/>
  <c r="C12739" i="1"/>
  <c r="C12738" i="1"/>
  <c r="C12737" i="1"/>
  <c r="C12736" i="1"/>
  <c r="C12735" i="1"/>
  <c r="C12734" i="1"/>
  <c r="C12733" i="1"/>
  <c r="C12732" i="1"/>
  <c r="C12731" i="1"/>
  <c r="C12730" i="1"/>
  <c r="C12729" i="1"/>
  <c r="C12728" i="1"/>
  <c r="C12727" i="1"/>
  <c r="C12726" i="1"/>
  <c r="C12725" i="1"/>
  <c r="C12724" i="1"/>
  <c r="C12723" i="1"/>
  <c r="C12722" i="1"/>
  <c r="C12721" i="1"/>
  <c r="C12720" i="1"/>
  <c r="C12719" i="1"/>
  <c r="C12718" i="1"/>
  <c r="C12717" i="1"/>
  <c r="C12716" i="1"/>
  <c r="C12715" i="1"/>
  <c r="C12714" i="1"/>
  <c r="C12713" i="1"/>
  <c r="C12712" i="1"/>
  <c r="C12711" i="1"/>
  <c r="C12710" i="1"/>
  <c r="C12709" i="1"/>
  <c r="C12708" i="1"/>
  <c r="C12707" i="1"/>
  <c r="C12706" i="1"/>
  <c r="C12705" i="1"/>
  <c r="C12704" i="1"/>
  <c r="C12703" i="1"/>
  <c r="C12702" i="1"/>
  <c r="C12701" i="1"/>
  <c r="C12700" i="1"/>
  <c r="C12699" i="1"/>
  <c r="C12698" i="1"/>
  <c r="C12697" i="1"/>
  <c r="C12696" i="1"/>
  <c r="C12695" i="1"/>
  <c r="C12694" i="1"/>
  <c r="C12693" i="1"/>
  <c r="C12692" i="1"/>
  <c r="C12691" i="1"/>
  <c r="C12690" i="1"/>
  <c r="C12689" i="1"/>
  <c r="C12688" i="1"/>
  <c r="C12687" i="1"/>
  <c r="C12686" i="1"/>
  <c r="C12685" i="1"/>
  <c r="C12684" i="1"/>
  <c r="C12683" i="1"/>
  <c r="C12682" i="1"/>
  <c r="C12681" i="1"/>
  <c r="C12680" i="1"/>
  <c r="C12679" i="1"/>
  <c r="C12678" i="1"/>
  <c r="C12677" i="1"/>
  <c r="C12676" i="1"/>
  <c r="C12675" i="1"/>
  <c r="C12674" i="1"/>
  <c r="C12673" i="1"/>
  <c r="C12672" i="1"/>
  <c r="C12671" i="1"/>
  <c r="C12670" i="1"/>
  <c r="C12669" i="1"/>
  <c r="C12668" i="1"/>
  <c r="C12667" i="1"/>
  <c r="C12666" i="1"/>
  <c r="C12665" i="1"/>
  <c r="C12664" i="1"/>
  <c r="C12663" i="1"/>
  <c r="C12662" i="1"/>
  <c r="C12661" i="1"/>
  <c r="C12660" i="1"/>
  <c r="C12659" i="1"/>
  <c r="C12658" i="1"/>
  <c r="C12657" i="1"/>
  <c r="C12656" i="1"/>
  <c r="C12655" i="1"/>
  <c r="C12654" i="1"/>
  <c r="C12653" i="1"/>
  <c r="C12652" i="1"/>
  <c r="C12651" i="1"/>
  <c r="C12650" i="1"/>
  <c r="C12649" i="1"/>
  <c r="C12648" i="1"/>
  <c r="C12647" i="1"/>
  <c r="C12646" i="1"/>
  <c r="C12645" i="1"/>
  <c r="C12644" i="1"/>
  <c r="C12643" i="1"/>
  <c r="C12642" i="1"/>
  <c r="C12641" i="1"/>
  <c r="C12640" i="1"/>
  <c r="C12639" i="1"/>
  <c r="C12638" i="1"/>
  <c r="C12637" i="1"/>
  <c r="C12636" i="1"/>
  <c r="C12635" i="1"/>
  <c r="C12634" i="1"/>
  <c r="C12633" i="1"/>
  <c r="C12632" i="1"/>
  <c r="C12631" i="1"/>
  <c r="C12630" i="1"/>
  <c r="C12629" i="1"/>
  <c r="C12628" i="1"/>
  <c r="C12627" i="1"/>
  <c r="C12626" i="1"/>
  <c r="C12625" i="1"/>
  <c r="C12624" i="1"/>
  <c r="C12623" i="1"/>
  <c r="C12622" i="1"/>
  <c r="C12621" i="1"/>
  <c r="C12620" i="1"/>
  <c r="C12619" i="1"/>
  <c r="C12618" i="1"/>
  <c r="C12617" i="1"/>
  <c r="C12616" i="1"/>
  <c r="C12615" i="1"/>
  <c r="C12614" i="1"/>
  <c r="C12613" i="1"/>
  <c r="C12612" i="1"/>
  <c r="C12611" i="1"/>
  <c r="C12610" i="1"/>
  <c r="C12609" i="1"/>
  <c r="C12608" i="1"/>
  <c r="C12607" i="1"/>
  <c r="C12606" i="1"/>
  <c r="C12605" i="1"/>
  <c r="C12604" i="1"/>
  <c r="C12603" i="1"/>
  <c r="C12602" i="1"/>
  <c r="C12601" i="1"/>
  <c r="C12600" i="1"/>
  <c r="C12599" i="1"/>
  <c r="C12598" i="1"/>
  <c r="C12597" i="1"/>
  <c r="C12596" i="1"/>
  <c r="C12595" i="1"/>
  <c r="C12594" i="1"/>
  <c r="C12593" i="1"/>
  <c r="C12592" i="1"/>
  <c r="C12591" i="1"/>
  <c r="C12590" i="1"/>
  <c r="C12589" i="1"/>
  <c r="C12588" i="1"/>
  <c r="C12587" i="1"/>
  <c r="C12586" i="1"/>
  <c r="C12585" i="1"/>
  <c r="C12584" i="1"/>
  <c r="C12583" i="1"/>
  <c r="C12582" i="1"/>
  <c r="C12581" i="1"/>
  <c r="C12580" i="1"/>
  <c r="C12579" i="1"/>
  <c r="C12578" i="1"/>
  <c r="C12577" i="1"/>
  <c r="C12576" i="1"/>
  <c r="C12575" i="1"/>
  <c r="C12574" i="1"/>
  <c r="C12573" i="1"/>
  <c r="C12572" i="1"/>
  <c r="C12571" i="1"/>
  <c r="C12570" i="1"/>
  <c r="C12569" i="1"/>
  <c r="C12568" i="1"/>
  <c r="C12567" i="1"/>
  <c r="C12566" i="1"/>
  <c r="C12565" i="1"/>
  <c r="C12564" i="1"/>
  <c r="C12563" i="1"/>
  <c r="C12562" i="1"/>
  <c r="C12561" i="1"/>
  <c r="C12560" i="1"/>
  <c r="C12559" i="1"/>
  <c r="C12558" i="1"/>
  <c r="C12557" i="1"/>
  <c r="C12556" i="1"/>
  <c r="C12555" i="1"/>
  <c r="C12554" i="1"/>
  <c r="C12553" i="1"/>
  <c r="C12552" i="1"/>
  <c r="C12551" i="1"/>
  <c r="C12550" i="1"/>
  <c r="C12549" i="1"/>
  <c r="C12548" i="1"/>
  <c r="C12547" i="1"/>
  <c r="C12546" i="1"/>
  <c r="C12545" i="1"/>
  <c r="C12544" i="1"/>
  <c r="C12543" i="1"/>
  <c r="C12542" i="1"/>
  <c r="C12541" i="1"/>
  <c r="C12540" i="1"/>
  <c r="C12539" i="1"/>
  <c r="C12538" i="1"/>
  <c r="C12537" i="1"/>
  <c r="C12536" i="1"/>
  <c r="C12535" i="1"/>
  <c r="C12534" i="1"/>
  <c r="C12533" i="1"/>
  <c r="C12532" i="1"/>
  <c r="C12531" i="1"/>
  <c r="C12530" i="1"/>
  <c r="C12529" i="1"/>
  <c r="C12528" i="1"/>
  <c r="C12527" i="1"/>
  <c r="C12526" i="1"/>
  <c r="C12525" i="1"/>
  <c r="C12524" i="1"/>
  <c r="C12523" i="1"/>
  <c r="C12522" i="1"/>
  <c r="C12521" i="1"/>
  <c r="C12520" i="1"/>
  <c r="C12519" i="1"/>
  <c r="C12518" i="1"/>
  <c r="C12517" i="1"/>
  <c r="C12516" i="1"/>
  <c r="C12515" i="1"/>
  <c r="C12514" i="1"/>
  <c r="C12513" i="1"/>
  <c r="C12512" i="1"/>
  <c r="C12511" i="1"/>
  <c r="C12510" i="1"/>
  <c r="C12509" i="1"/>
  <c r="C12508" i="1"/>
  <c r="C12507" i="1"/>
  <c r="C12506" i="1"/>
  <c r="C12505" i="1"/>
  <c r="C12504" i="1"/>
  <c r="C12503" i="1"/>
  <c r="C12502" i="1"/>
  <c r="C12501" i="1"/>
  <c r="C12500" i="1"/>
  <c r="C12499" i="1"/>
  <c r="C12498" i="1"/>
  <c r="C12497" i="1"/>
  <c r="C12496" i="1"/>
  <c r="C12495" i="1"/>
  <c r="C12494" i="1"/>
  <c r="C12493" i="1"/>
  <c r="C12492" i="1"/>
  <c r="C12491" i="1"/>
  <c r="C12490" i="1"/>
  <c r="C12489" i="1"/>
  <c r="C12488" i="1"/>
  <c r="C12487" i="1"/>
  <c r="C12486" i="1"/>
  <c r="C12485" i="1"/>
  <c r="C12484" i="1"/>
  <c r="C12483" i="1"/>
  <c r="C12482" i="1"/>
  <c r="C12481" i="1"/>
  <c r="C12480" i="1"/>
  <c r="C12479" i="1"/>
  <c r="C12478" i="1"/>
  <c r="C12477" i="1"/>
  <c r="C12476" i="1"/>
  <c r="C12475" i="1"/>
  <c r="C12474" i="1"/>
  <c r="C12473" i="1"/>
  <c r="C12472" i="1"/>
  <c r="C12471" i="1"/>
  <c r="C12470" i="1"/>
  <c r="C12469" i="1"/>
  <c r="C12468" i="1"/>
  <c r="C12467" i="1"/>
  <c r="C12466" i="1"/>
  <c r="C12465" i="1"/>
  <c r="C12464" i="1"/>
  <c r="C12463" i="1"/>
  <c r="C12462" i="1"/>
  <c r="C12461" i="1"/>
  <c r="C12460" i="1"/>
  <c r="C12459" i="1"/>
  <c r="C12458" i="1"/>
  <c r="C12457" i="1"/>
  <c r="C12456" i="1"/>
  <c r="C12455" i="1"/>
  <c r="C12454" i="1"/>
  <c r="C12453" i="1"/>
  <c r="C12452" i="1"/>
  <c r="C12451" i="1"/>
  <c r="C12450" i="1"/>
  <c r="C12449" i="1"/>
  <c r="C12448" i="1"/>
  <c r="C12447" i="1"/>
  <c r="C12446" i="1"/>
  <c r="C12445" i="1"/>
  <c r="C12444" i="1"/>
  <c r="C12443" i="1"/>
  <c r="C12442" i="1"/>
  <c r="C12441" i="1"/>
  <c r="C12440" i="1"/>
  <c r="C12439" i="1"/>
  <c r="C12438" i="1"/>
  <c r="C12437" i="1"/>
  <c r="C12436" i="1"/>
  <c r="C12435" i="1"/>
  <c r="C12434" i="1"/>
  <c r="C12433" i="1"/>
  <c r="C12432" i="1"/>
  <c r="C12431" i="1"/>
  <c r="C12430" i="1"/>
  <c r="C12429" i="1"/>
  <c r="C12428" i="1"/>
  <c r="C12427" i="1"/>
  <c r="C12426" i="1"/>
  <c r="C12425" i="1"/>
  <c r="C12424" i="1"/>
  <c r="C12423" i="1"/>
  <c r="C12422" i="1"/>
  <c r="C12421" i="1"/>
  <c r="C12420" i="1"/>
  <c r="C12419" i="1"/>
  <c r="C12418" i="1"/>
  <c r="C12417" i="1"/>
  <c r="C12416" i="1"/>
  <c r="C12415" i="1"/>
  <c r="C12414" i="1"/>
  <c r="C12413" i="1"/>
  <c r="C12412" i="1"/>
  <c r="C12411" i="1"/>
  <c r="C12410" i="1"/>
  <c r="C12409" i="1"/>
  <c r="C12408" i="1"/>
  <c r="C12407" i="1"/>
  <c r="C12406" i="1"/>
  <c r="C12405" i="1"/>
  <c r="C12404" i="1"/>
  <c r="C12403" i="1"/>
  <c r="C12402" i="1"/>
  <c r="C12401" i="1"/>
  <c r="C12400" i="1"/>
  <c r="C12399" i="1"/>
  <c r="C12398" i="1"/>
  <c r="C12397" i="1"/>
  <c r="C12396" i="1"/>
  <c r="C12395" i="1"/>
  <c r="C12394" i="1"/>
  <c r="C12393" i="1"/>
  <c r="C12392" i="1"/>
  <c r="C12391" i="1"/>
  <c r="C12390" i="1"/>
  <c r="C12389" i="1"/>
  <c r="C12388" i="1"/>
  <c r="C12387" i="1"/>
  <c r="C12386" i="1"/>
  <c r="C12385" i="1"/>
  <c r="C12384" i="1"/>
  <c r="C12383" i="1"/>
  <c r="C12382" i="1"/>
  <c r="C12381" i="1"/>
  <c r="C12380" i="1"/>
  <c r="C12379" i="1"/>
  <c r="C12378" i="1"/>
  <c r="C12377" i="1"/>
  <c r="C12376" i="1"/>
  <c r="C12375" i="1"/>
  <c r="C12374" i="1"/>
  <c r="C12373" i="1"/>
  <c r="C12372" i="1"/>
  <c r="C12371" i="1"/>
  <c r="C12370" i="1"/>
  <c r="C12369" i="1"/>
  <c r="C12368" i="1"/>
  <c r="C12367" i="1"/>
  <c r="C12366" i="1"/>
  <c r="C12365" i="1"/>
  <c r="C12364" i="1"/>
  <c r="C12363" i="1"/>
  <c r="C12362" i="1"/>
  <c r="C12361" i="1"/>
  <c r="C12360" i="1"/>
  <c r="C12359" i="1"/>
  <c r="C12358" i="1"/>
  <c r="C12357" i="1"/>
  <c r="C12356" i="1"/>
  <c r="C12355" i="1"/>
  <c r="C12354" i="1"/>
  <c r="C12353" i="1"/>
  <c r="C12352" i="1"/>
  <c r="C12351" i="1"/>
  <c r="C12350" i="1"/>
  <c r="C12349" i="1"/>
  <c r="C12348" i="1"/>
  <c r="C12347" i="1"/>
  <c r="C12346" i="1"/>
  <c r="C12345" i="1"/>
  <c r="C12344" i="1"/>
  <c r="C12343" i="1"/>
  <c r="C12342" i="1"/>
  <c r="C12341" i="1"/>
  <c r="C12340" i="1"/>
  <c r="C12339" i="1"/>
  <c r="C12338" i="1"/>
  <c r="C12337" i="1"/>
  <c r="C12336" i="1"/>
  <c r="C12335" i="1"/>
  <c r="C12334" i="1"/>
  <c r="C12333" i="1"/>
  <c r="C12332" i="1"/>
  <c r="C12331" i="1"/>
  <c r="C12330" i="1"/>
  <c r="C12329" i="1"/>
  <c r="C12328" i="1"/>
  <c r="C12327" i="1"/>
  <c r="C12326" i="1"/>
  <c r="C12325" i="1"/>
  <c r="C12324" i="1"/>
  <c r="C12323" i="1"/>
  <c r="C12322" i="1"/>
  <c r="C12321" i="1"/>
  <c r="C12320" i="1"/>
  <c r="C12319" i="1"/>
  <c r="C12318" i="1"/>
  <c r="C12317" i="1"/>
  <c r="C12316" i="1"/>
  <c r="C12315" i="1"/>
  <c r="C12314" i="1"/>
  <c r="C12313" i="1"/>
  <c r="C12312" i="1"/>
  <c r="C12311" i="1"/>
  <c r="C12310" i="1"/>
  <c r="C12309" i="1"/>
  <c r="C12308" i="1"/>
  <c r="C12307" i="1"/>
  <c r="C12306" i="1"/>
  <c r="C12305" i="1"/>
  <c r="C12304" i="1"/>
  <c r="C12303" i="1"/>
  <c r="C12302" i="1"/>
  <c r="C12301" i="1"/>
  <c r="C12300" i="1"/>
  <c r="C12299" i="1"/>
  <c r="C12298" i="1"/>
  <c r="C12297" i="1"/>
  <c r="C12296" i="1"/>
  <c r="C12295" i="1"/>
  <c r="C12294" i="1"/>
  <c r="C12293" i="1"/>
  <c r="C12292" i="1"/>
  <c r="C12291" i="1"/>
  <c r="C12290" i="1"/>
  <c r="C12289" i="1"/>
  <c r="C12288" i="1"/>
  <c r="C12287" i="1"/>
  <c r="C12286" i="1"/>
  <c r="C12285" i="1"/>
  <c r="C12284" i="1"/>
  <c r="C12283" i="1"/>
  <c r="C12282" i="1"/>
  <c r="C12281" i="1"/>
  <c r="C12280" i="1"/>
  <c r="C12279" i="1"/>
  <c r="C12278" i="1"/>
  <c r="C12277" i="1"/>
  <c r="C12276" i="1"/>
  <c r="C12275" i="1"/>
  <c r="C12274" i="1"/>
  <c r="C12273" i="1"/>
  <c r="C12272" i="1"/>
  <c r="C12271" i="1"/>
  <c r="C12270" i="1"/>
  <c r="C12269" i="1"/>
  <c r="C12268" i="1"/>
  <c r="C12267" i="1"/>
  <c r="C12266" i="1"/>
  <c r="C12265" i="1"/>
  <c r="C12264" i="1"/>
  <c r="C12263" i="1"/>
  <c r="C12262" i="1"/>
  <c r="C12261" i="1"/>
  <c r="C12260" i="1"/>
  <c r="C12259" i="1"/>
  <c r="C12258" i="1"/>
  <c r="C12257" i="1"/>
  <c r="C12256" i="1"/>
  <c r="C12255" i="1"/>
  <c r="C12254" i="1"/>
  <c r="C12253" i="1"/>
  <c r="C12252" i="1"/>
  <c r="C12251" i="1"/>
  <c r="C12250" i="1"/>
  <c r="C12249" i="1"/>
  <c r="C12248" i="1"/>
  <c r="C12247" i="1"/>
  <c r="C12246" i="1"/>
  <c r="C12245" i="1"/>
  <c r="C12244" i="1"/>
  <c r="C12243" i="1"/>
  <c r="C12242" i="1"/>
  <c r="C12241" i="1"/>
  <c r="C12240" i="1"/>
  <c r="C12239" i="1"/>
  <c r="C12238" i="1"/>
  <c r="C12237" i="1"/>
  <c r="C12236" i="1"/>
  <c r="C12235" i="1"/>
  <c r="C12234" i="1"/>
  <c r="C12233" i="1"/>
  <c r="C12232" i="1"/>
  <c r="C12231" i="1"/>
  <c r="C12230" i="1"/>
  <c r="C12229" i="1"/>
  <c r="C12228" i="1"/>
  <c r="C12227" i="1"/>
  <c r="C12226" i="1"/>
  <c r="C12225" i="1"/>
  <c r="C12224" i="1"/>
  <c r="C12223" i="1"/>
  <c r="C12222" i="1"/>
  <c r="C12221" i="1"/>
  <c r="C12220" i="1"/>
  <c r="C12219" i="1"/>
  <c r="C12218" i="1"/>
  <c r="C12217" i="1"/>
  <c r="C12216" i="1"/>
  <c r="C12215" i="1"/>
  <c r="C12214" i="1"/>
  <c r="C12213" i="1"/>
  <c r="C12212" i="1"/>
  <c r="C12211" i="1"/>
  <c r="C12210" i="1"/>
  <c r="C12209" i="1"/>
  <c r="C12208" i="1"/>
  <c r="C12207" i="1"/>
  <c r="C12206" i="1"/>
  <c r="C12205" i="1"/>
  <c r="C12204" i="1"/>
  <c r="C12203" i="1"/>
  <c r="C12202" i="1"/>
  <c r="C12201" i="1"/>
  <c r="C12200" i="1"/>
  <c r="C12199" i="1"/>
  <c r="C12198" i="1"/>
  <c r="C12197" i="1"/>
  <c r="C12196" i="1"/>
  <c r="C12195" i="1"/>
  <c r="C12194" i="1"/>
  <c r="C12193" i="1"/>
  <c r="C12192" i="1"/>
  <c r="C12191" i="1"/>
  <c r="C12190" i="1"/>
  <c r="C12189" i="1"/>
  <c r="C12188" i="1"/>
  <c r="C12187" i="1"/>
  <c r="C12186" i="1"/>
  <c r="C12185" i="1"/>
  <c r="C12184" i="1"/>
  <c r="C12183" i="1"/>
  <c r="C12182" i="1"/>
  <c r="C12181" i="1"/>
  <c r="C12180" i="1"/>
  <c r="C12179" i="1"/>
  <c r="C12178" i="1"/>
  <c r="C12177" i="1"/>
  <c r="C12176" i="1"/>
  <c r="C12175" i="1"/>
  <c r="C12174" i="1"/>
  <c r="C12173" i="1"/>
  <c r="C12172" i="1"/>
  <c r="C12171" i="1"/>
  <c r="C12170" i="1"/>
  <c r="C12169" i="1"/>
  <c r="C12168" i="1"/>
  <c r="C12167" i="1"/>
  <c r="C12166" i="1"/>
  <c r="C12165" i="1"/>
  <c r="C12164" i="1"/>
  <c r="C12163" i="1"/>
  <c r="C12162" i="1"/>
  <c r="C12161" i="1"/>
  <c r="C12160" i="1"/>
  <c r="C12159" i="1"/>
  <c r="C12158" i="1"/>
  <c r="C12157" i="1"/>
  <c r="C12156" i="1"/>
  <c r="C12155" i="1"/>
  <c r="C12154" i="1"/>
  <c r="C12153" i="1"/>
  <c r="C12152" i="1"/>
  <c r="C12151" i="1"/>
  <c r="C12150" i="1"/>
  <c r="C12149" i="1"/>
  <c r="C12148" i="1"/>
  <c r="C12147" i="1"/>
  <c r="C12146" i="1"/>
  <c r="C12145" i="1"/>
  <c r="C12144" i="1"/>
  <c r="C12143" i="1"/>
  <c r="C12142" i="1"/>
  <c r="C12141" i="1"/>
  <c r="C12140" i="1"/>
  <c r="C12139" i="1"/>
  <c r="C12138" i="1"/>
  <c r="C12137" i="1"/>
  <c r="C12136" i="1"/>
  <c r="C12135" i="1"/>
  <c r="C12134" i="1"/>
  <c r="C12133" i="1"/>
  <c r="C12132" i="1"/>
  <c r="C12131" i="1"/>
  <c r="C12130" i="1"/>
  <c r="C12129" i="1"/>
  <c r="C12128" i="1"/>
  <c r="C12127" i="1"/>
  <c r="C12126" i="1"/>
  <c r="C12125" i="1"/>
  <c r="C12124" i="1"/>
  <c r="C12123" i="1"/>
  <c r="C12122" i="1"/>
  <c r="C12121" i="1"/>
  <c r="C12120" i="1"/>
  <c r="C12119" i="1"/>
  <c r="C12118" i="1"/>
  <c r="C12117" i="1"/>
  <c r="C12116" i="1"/>
  <c r="C12115" i="1"/>
  <c r="C12114" i="1"/>
  <c r="C12113" i="1"/>
  <c r="C12112" i="1"/>
  <c r="C12111" i="1"/>
  <c r="C12110" i="1"/>
  <c r="C12109" i="1"/>
  <c r="C12108" i="1"/>
  <c r="C12107" i="1"/>
  <c r="C12106" i="1"/>
  <c r="C12105" i="1"/>
  <c r="C12104" i="1"/>
  <c r="C12103" i="1"/>
  <c r="C12102" i="1"/>
  <c r="C12101" i="1"/>
  <c r="C12100" i="1"/>
  <c r="C12099" i="1"/>
  <c r="C12098" i="1"/>
  <c r="C12097" i="1"/>
  <c r="C12096" i="1"/>
  <c r="C12095" i="1"/>
  <c r="C12094" i="1"/>
  <c r="C12093" i="1"/>
  <c r="C12092" i="1"/>
  <c r="C12091" i="1"/>
  <c r="C12090" i="1"/>
  <c r="C12089" i="1"/>
  <c r="C12088" i="1"/>
  <c r="C12087" i="1"/>
  <c r="C12086" i="1"/>
  <c r="C12085" i="1"/>
  <c r="C12084" i="1"/>
  <c r="C12083" i="1"/>
  <c r="C12082" i="1"/>
  <c r="C12081" i="1"/>
  <c r="C12080" i="1"/>
  <c r="C12079" i="1"/>
  <c r="C12078" i="1"/>
  <c r="C12077" i="1"/>
  <c r="C12076" i="1"/>
  <c r="C12075" i="1"/>
  <c r="C12074" i="1"/>
  <c r="C12073" i="1"/>
  <c r="C12072" i="1"/>
  <c r="C12071" i="1"/>
  <c r="C12070" i="1"/>
  <c r="C12069" i="1"/>
  <c r="C12068" i="1"/>
  <c r="C12067" i="1"/>
  <c r="C12066" i="1"/>
  <c r="C12065" i="1"/>
  <c r="C12064" i="1"/>
  <c r="C12063" i="1"/>
  <c r="C12062" i="1"/>
  <c r="C12061" i="1"/>
  <c r="C12060" i="1"/>
  <c r="C12059" i="1"/>
  <c r="C12058" i="1"/>
  <c r="C12057" i="1"/>
  <c r="C12056" i="1"/>
  <c r="C12055" i="1"/>
  <c r="C12054" i="1"/>
  <c r="C12053" i="1"/>
  <c r="C12052" i="1"/>
  <c r="C12051" i="1"/>
  <c r="C12050" i="1"/>
  <c r="C12049" i="1"/>
  <c r="C12048" i="1"/>
  <c r="C12047" i="1"/>
  <c r="C12046" i="1"/>
  <c r="C12045" i="1"/>
  <c r="C12044" i="1"/>
  <c r="C12043" i="1"/>
  <c r="C12042" i="1"/>
  <c r="C12041" i="1"/>
  <c r="C12040" i="1"/>
  <c r="C12039" i="1"/>
  <c r="C12038" i="1"/>
  <c r="C12037" i="1"/>
  <c r="C12036" i="1"/>
  <c r="C12035" i="1"/>
  <c r="C12034" i="1"/>
  <c r="C12033" i="1"/>
  <c r="C12032" i="1"/>
  <c r="C12031" i="1"/>
  <c r="C12030" i="1"/>
  <c r="C12029" i="1"/>
  <c r="C12028" i="1"/>
  <c r="C12027" i="1"/>
  <c r="C12026" i="1"/>
  <c r="C12025" i="1"/>
  <c r="C12024" i="1"/>
  <c r="C12023" i="1"/>
  <c r="C12022" i="1"/>
  <c r="C12021" i="1"/>
  <c r="C12020" i="1"/>
  <c r="C12019" i="1"/>
  <c r="C12018" i="1"/>
  <c r="C12017" i="1"/>
  <c r="C12016" i="1"/>
  <c r="C12015" i="1"/>
  <c r="C12014" i="1"/>
  <c r="C12013" i="1"/>
  <c r="C12012" i="1"/>
  <c r="C12011" i="1"/>
  <c r="C12010" i="1"/>
  <c r="C12009" i="1"/>
  <c r="C12008" i="1"/>
  <c r="C12007" i="1"/>
  <c r="C12006" i="1"/>
  <c r="C12005" i="1"/>
  <c r="C12004" i="1"/>
  <c r="C12003" i="1"/>
  <c r="C12002" i="1"/>
  <c r="C12001" i="1"/>
  <c r="C12000" i="1"/>
  <c r="C11999" i="1"/>
  <c r="C11998" i="1"/>
  <c r="C11997" i="1"/>
  <c r="C11996" i="1"/>
  <c r="C11995" i="1"/>
  <c r="C11994" i="1"/>
  <c r="C11993" i="1"/>
  <c r="C11992" i="1"/>
  <c r="C11991" i="1"/>
  <c r="C11990" i="1"/>
  <c r="C11989" i="1"/>
  <c r="C11988" i="1"/>
  <c r="C11987" i="1"/>
  <c r="C11986" i="1"/>
  <c r="C11985" i="1"/>
  <c r="C11984" i="1"/>
  <c r="C11983" i="1"/>
  <c r="C11982" i="1"/>
  <c r="C11981" i="1"/>
  <c r="C11980" i="1"/>
  <c r="C11979" i="1"/>
  <c r="C11978" i="1"/>
  <c r="C11977" i="1"/>
  <c r="C11976" i="1"/>
  <c r="C11975" i="1"/>
  <c r="C11974" i="1"/>
  <c r="C11973" i="1"/>
  <c r="C11972" i="1"/>
  <c r="C11971" i="1"/>
  <c r="C11970" i="1"/>
  <c r="C11969" i="1"/>
  <c r="C11968" i="1"/>
  <c r="C11967" i="1"/>
  <c r="C11966" i="1"/>
  <c r="C11965" i="1"/>
  <c r="C11964" i="1"/>
  <c r="C11963" i="1"/>
  <c r="C11962" i="1"/>
  <c r="C11961" i="1"/>
  <c r="C11960" i="1"/>
  <c r="C11959" i="1"/>
  <c r="C11958" i="1"/>
  <c r="C11957" i="1"/>
  <c r="C11956" i="1"/>
  <c r="C11955" i="1"/>
  <c r="C11954" i="1"/>
  <c r="C11953" i="1"/>
  <c r="C11952" i="1"/>
  <c r="C11951" i="1"/>
  <c r="C11950" i="1"/>
  <c r="C11949" i="1"/>
  <c r="C11948" i="1"/>
  <c r="C11947" i="1"/>
  <c r="C11946" i="1"/>
  <c r="C11945" i="1"/>
  <c r="C11944" i="1"/>
  <c r="C11943" i="1"/>
  <c r="C11942" i="1"/>
  <c r="C11941" i="1"/>
  <c r="C11940" i="1"/>
  <c r="C11939" i="1"/>
  <c r="C11938" i="1"/>
  <c r="C11937" i="1"/>
  <c r="C11936" i="1"/>
  <c r="C11935" i="1"/>
  <c r="C11934" i="1"/>
  <c r="C11933" i="1"/>
  <c r="C11932" i="1"/>
  <c r="C11931" i="1"/>
  <c r="C11930" i="1"/>
  <c r="C11929" i="1"/>
  <c r="C11928" i="1"/>
  <c r="C11927" i="1"/>
  <c r="C11926" i="1"/>
  <c r="C11925" i="1"/>
  <c r="C11924" i="1"/>
  <c r="C11923" i="1"/>
  <c r="C11922" i="1"/>
  <c r="C11921" i="1"/>
  <c r="C11920" i="1"/>
  <c r="C11919" i="1"/>
  <c r="C11918" i="1"/>
  <c r="C11917" i="1"/>
  <c r="C11916" i="1"/>
  <c r="C11915" i="1"/>
  <c r="C11914" i="1"/>
  <c r="C11913" i="1"/>
  <c r="C11912" i="1"/>
  <c r="C11911" i="1"/>
  <c r="C11910" i="1"/>
  <c r="C11909" i="1"/>
  <c r="C11908" i="1"/>
  <c r="C11907" i="1"/>
  <c r="C11906" i="1"/>
  <c r="C11905" i="1"/>
  <c r="C11904" i="1"/>
  <c r="C11903" i="1"/>
  <c r="C11902" i="1"/>
  <c r="C11901" i="1"/>
  <c r="C11900" i="1"/>
  <c r="C11899" i="1"/>
  <c r="C11898" i="1"/>
  <c r="C11897" i="1"/>
  <c r="C11896" i="1"/>
  <c r="C11895" i="1"/>
  <c r="C11894" i="1"/>
  <c r="C11893" i="1"/>
  <c r="C11892" i="1"/>
  <c r="C11891" i="1"/>
  <c r="C11890" i="1"/>
  <c r="C11889" i="1"/>
  <c r="C11888" i="1"/>
  <c r="C11887" i="1"/>
  <c r="C11886" i="1"/>
  <c r="C11885" i="1"/>
  <c r="C11884" i="1"/>
  <c r="C11883" i="1"/>
  <c r="C11882" i="1"/>
  <c r="C11881" i="1"/>
  <c r="C11880" i="1"/>
  <c r="C11879" i="1"/>
  <c r="C11878" i="1"/>
  <c r="C11877" i="1"/>
  <c r="C11876" i="1"/>
  <c r="C11875" i="1"/>
  <c r="C11874" i="1"/>
  <c r="C11873" i="1"/>
  <c r="C11872" i="1"/>
  <c r="C11871" i="1"/>
  <c r="C11870" i="1"/>
  <c r="C11869" i="1"/>
  <c r="C11868" i="1"/>
  <c r="C11867" i="1"/>
  <c r="C11866" i="1"/>
  <c r="C11865" i="1"/>
  <c r="C11864" i="1"/>
  <c r="C11863" i="1"/>
  <c r="C11862" i="1"/>
  <c r="C11861" i="1"/>
  <c r="C11860" i="1"/>
  <c r="C11859" i="1"/>
  <c r="C11858" i="1"/>
  <c r="C11857" i="1"/>
  <c r="C11856" i="1"/>
  <c r="C11855" i="1"/>
  <c r="C11854" i="1"/>
  <c r="C11853" i="1"/>
  <c r="C11852" i="1"/>
  <c r="C11851" i="1"/>
  <c r="C11850" i="1"/>
  <c r="C11849" i="1"/>
  <c r="C11848" i="1"/>
  <c r="C11847" i="1"/>
  <c r="C11846" i="1"/>
  <c r="C11845" i="1"/>
  <c r="C11844" i="1"/>
  <c r="C11843" i="1"/>
  <c r="C11842" i="1"/>
  <c r="C11841" i="1"/>
  <c r="C11840" i="1"/>
  <c r="C11839" i="1"/>
  <c r="C11838" i="1"/>
  <c r="C11837" i="1"/>
  <c r="C11836" i="1"/>
  <c r="C11835" i="1"/>
  <c r="C11834" i="1"/>
  <c r="C11833" i="1"/>
  <c r="C11832" i="1"/>
  <c r="C11831" i="1"/>
  <c r="C11830" i="1"/>
  <c r="C11829" i="1"/>
  <c r="C11828" i="1"/>
  <c r="C11827" i="1"/>
  <c r="C11826" i="1"/>
  <c r="C11825" i="1"/>
  <c r="C11824" i="1"/>
  <c r="C11823" i="1"/>
  <c r="C11822" i="1"/>
  <c r="C11821" i="1"/>
  <c r="C11820" i="1"/>
  <c r="C11819" i="1"/>
  <c r="C11818" i="1"/>
  <c r="C11817" i="1"/>
  <c r="C11816" i="1"/>
  <c r="C11815" i="1"/>
  <c r="C11814" i="1"/>
  <c r="C11813" i="1"/>
  <c r="C11812" i="1"/>
  <c r="C11811" i="1"/>
  <c r="C11810" i="1"/>
  <c r="C11809" i="1"/>
  <c r="C11808" i="1"/>
  <c r="C11807" i="1"/>
  <c r="C11806" i="1"/>
  <c r="C11805" i="1"/>
  <c r="C11804" i="1"/>
  <c r="C11803" i="1"/>
  <c r="C11802" i="1"/>
  <c r="C11801" i="1"/>
  <c r="C11800" i="1"/>
  <c r="C11799" i="1"/>
  <c r="C11798" i="1"/>
  <c r="C11797" i="1"/>
  <c r="C11796" i="1"/>
  <c r="C11795" i="1"/>
  <c r="C11794" i="1"/>
  <c r="C11793" i="1"/>
  <c r="C11792" i="1"/>
  <c r="C11791" i="1"/>
  <c r="C11790" i="1"/>
  <c r="C11789" i="1"/>
  <c r="C11788" i="1"/>
  <c r="C11787" i="1"/>
  <c r="C11786" i="1"/>
  <c r="C11785" i="1"/>
  <c r="C11784" i="1"/>
  <c r="C11783" i="1"/>
  <c r="C11782" i="1"/>
  <c r="C11781" i="1"/>
  <c r="C11780" i="1"/>
  <c r="C11779" i="1"/>
  <c r="C11778" i="1"/>
  <c r="C11777" i="1"/>
  <c r="C11776" i="1"/>
  <c r="C11775" i="1"/>
  <c r="C11774" i="1"/>
  <c r="C11773" i="1"/>
  <c r="C11772" i="1"/>
  <c r="C11771" i="1"/>
  <c r="C11770" i="1"/>
  <c r="C11769" i="1"/>
  <c r="C11768" i="1"/>
  <c r="C11767" i="1"/>
  <c r="C11766" i="1"/>
  <c r="C11765" i="1"/>
  <c r="C11764" i="1"/>
  <c r="C11763" i="1"/>
  <c r="C11762" i="1"/>
  <c r="C11761" i="1"/>
  <c r="C11760" i="1"/>
  <c r="C11759" i="1"/>
  <c r="C11758" i="1"/>
  <c r="C11757" i="1"/>
  <c r="C11756" i="1"/>
  <c r="C11755" i="1"/>
  <c r="C11754" i="1"/>
  <c r="C11753" i="1"/>
  <c r="C11752" i="1"/>
  <c r="C11751" i="1"/>
  <c r="C11750" i="1"/>
  <c r="C11749" i="1"/>
  <c r="C11748" i="1"/>
  <c r="C11747" i="1"/>
  <c r="C11746" i="1"/>
  <c r="C11745" i="1"/>
  <c r="C11744" i="1"/>
  <c r="C11743" i="1"/>
  <c r="C11742" i="1"/>
  <c r="C11741" i="1"/>
  <c r="C11740" i="1"/>
  <c r="C11739" i="1"/>
  <c r="C11738" i="1"/>
  <c r="C11737" i="1"/>
  <c r="C11736" i="1"/>
  <c r="C11735" i="1"/>
  <c r="C11734" i="1"/>
  <c r="C11733" i="1"/>
  <c r="C11732" i="1"/>
  <c r="C11731" i="1"/>
  <c r="C11730" i="1"/>
  <c r="C11729" i="1"/>
  <c r="C11728" i="1"/>
  <c r="C11727" i="1"/>
  <c r="C11726" i="1"/>
  <c r="C11725" i="1"/>
  <c r="C11724" i="1"/>
  <c r="C11723" i="1"/>
  <c r="C11722" i="1"/>
  <c r="C11721" i="1"/>
  <c r="C11720" i="1"/>
  <c r="C11719" i="1"/>
  <c r="C11718" i="1"/>
  <c r="C11717" i="1"/>
  <c r="C11716" i="1"/>
  <c r="C11715" i="1"/>
  <c r="C11714" i="1"/>
  <c r="C11713" i="1"/>
  <c r="C11712" i="1"/>
  <c r="C11711" i="1"/>
  <c r="C11710" i="1"/>
  <c r="C11709" i="1"/>
  <c r="C11708" i="1"/>
  <c r="C11707" i="1"/>
  <c r="C11706" i="1"/>
  <c r="C11705" i="1"/>
  <c r="C11704" i="1"/>
  <c r="C11703" i="1"/>
  <c r="C11702" i="1"/>
  <c r="C11701" i="1"/>
  <c r="C11700" i="1"/>
  <c r="C11699" i="1"/>
  <c r="C11698" i="1"/>
  <c r="C11697" i="1"/>
  <c r="C11696" i="1"/>
  <c r="C11695" i="1"/>
  <c r="C11694" i="1"/>
  <c r="C11693" i="1"/>
  <c r="C11692" i="1"/>
  <c r="C11691" i="1"/>
  <c r="C11690" i="1"/>
  <c r="C11689" i="1"/>
  <c r="C11688" i="1"/>
  <c r="C11687" i="1"/>
  <c r="C11686" i="1"/>
  <c r="C11685" i="1"/>
  <c r="C11684" i="1"/>
  <c r="C11683" i="1"/>
  <c r="C11682" i="1"/>
  <c r="C11681" i="1"/>
  <c r="C11680" i="1"/>
  <c r="C11679" i="1"/>
  <c r="C11678" i="1"/>
  <c r="C11677" i="1"/>
  <c r="C11676" i="1"/>
  <c r="C11675" i="1"/>
  <c r="C11674" i="1"/>
  <c r="C11673" i="1"/>
  <c r="C11672" i="1"/>
  <c r="C11671" i="1"/>
  <c r="C11670" i="1"/>
  <c r="C11669" i="1"/>
  <c r="C11668" i="1"/>
  <c r="C11667" i="1"/>
  <c r="C11666" i="1"/>
  <c r="C11665" i="1"/>
  <c r="C11664" i="1"/>
  <c r="C11663" i="1"/>
  <c r="C11662" i="1"/>
  <c r="C11661" i="1"/>
  <c r="C11660" i="1"/>
  <c r="C11659" i="1"/>
  <c r="C11658" i="1"/>
  <c r="C11657" i="1"/>
  <c r="C11656" i="1"/>
  <c r="C11655" i="1"/>
  <c r="C11654" i="1"/>
  <c r="C11653" i="1"/>
  <c r="C11652" i="1"/>
  <c r="C11651" i="1"/>
  <c r="C11650" i="1"/>
  <c r="C11649" i="1"/>
  <c r="C11648" i="1"/>
  <c r="C11647" i="1"/>
  <c r="C11646" i="1"/>
  <c r="C11645" i="1"/>
  <c r="C11644" i="1"/>
  <c r="C11643" i="1"/>
  <c r="C11642" i="1"/>
  <c r="C11641" i="1"/>
  <c r="C11640" i="1"/>
  <c r="C11639" i="1"/>
  <c r="C11638" i="1"/>
  <c r="C11637" i="1"/>
  <c r="C11636" i="1"/>
  <c r="C11635" i="1"/>
  <c r="C11634" i="1"/>
  <c r="C11633" i="1"/>
  <c r="C11632" i="1"/>
  <c r="C11631" i="1"/>
  <c r="C11630" i="1"/>
  <c r="C11629" i="1"/>
  <c r="C11628" i="1"/>
  <c r="C11627" i="1"/>
  <c r="C11626" i="1"/>
  <c r="C11625" i="1"/>
  <c r="C11624" i="1"/>
  <c r="C11623" i="1"/>
  <c r="C11622" i="1"/>
  <c r="C11621" i="1"/>
  <c r="C11620" i="1"/>
  <c r="C11619" i="1"/>
  <c r="C11618" i="1"/>
  <c r="C11617" i="1"/>
  <c r="C11616" i="1"/>
  <c r="C11615" i="1"/>
  <c r="C11614" i="1"/>
  <c r="C11613" i="1"/>
  <c r="C11612" i="1"/>
  <c r="C11611" i="1"/>
  <c r="C11610" i="1"/>
  <c r="C11609" i="1"/>
  <c r="C11608" i="1"/>
  <c r="C11607" i="1"/>
  <c r="C11606" i="1"/>
  <c r="C11605" i="1"/>
  <c r="C11604" i="1"/>
  <c r="C11603" i="1"/>
  <c r="C11602" i="1"/>
  <c r="C11601" i="1"/>
  <c r="C11600" i="1"/>
  <c r="C11599" i="1"/>
  <c r="C11598" i="1"/>
  <c r="C11597" i="1"/>
  <c r="C11596" i="1"/>
  <c r="C11595" i="1"/>
  <c r="C11594" i="1"/>
  <c r="C11593" i="1"/>
  <c r="C11592" i="1"/>
  <c r="C11591" i="1"/>
  <c r="C11590" i="1"/>
  <c r="C11589" i="1"/>
  <c r="C11588" i="1"/>
  <c r="C11587" i="1"/>
  <c r="C11586" i="1"/>
  <c r="C11585" i="1"/>
  <c r="C11584" i="1"/>
  <c r="C11583" i="1"/>
  <c r="C11582" i="1"/>
  <c r="C11581" i="1"/>
  <c r="C11580" i="1"/>
  <c r="C11579" i="1"/>
  <c r="C11578" i="1"/>
  <c r="C11577" i="1"/>
  <c r="C11576" i="1"/>
  <c r="C11575" i="1"/>
  <c r="C11574" i="1"/>
  <c r="C11573" i="1"/>
  <c r="C11572" i="1"/>
  <c r="C11571" i="1"/>
  <c r="C11570" i="1"/>
  <c r="C11569" i="1"/>
  <c r="C11568" i="1"/>
  <c r="C11567" i="1"/>
  <c r="C11566" i="1"/>
  <c r="C11565" i="1"/>
  <c r="C11564" i="1"/>
  <c r="C11563" i="1"/>
  <c r="C11562" i="1"/>
  <c r="C11561" i="1"/>
  <c r="C11560" i="1"/>
  <c r="C11559" i="1"/>
  <c r="C11558" i="1"/>
  <c r="C11557" i="1"/>
  <c r="C11556" i="1"/>
  <c r="C11555" i="1"/>
  <c r="C11554" i="1"/>
  <c r="C11553" i="1"/>
  <c r="C11552" i="1"/>
  <c r="C11551" i="1"/>
  <c r="C11550" i="1"/>
  <c r="C11549" i="1"/>
  <c r="C11548" i="1"/>
  <c r="C11547" i="1"/>
  <c r="C11546" i="1"/>
  <c r="C11545" i="1"/>
  <c r="C11544" i="1"/>
  <c r="C11543" i="1"/>
  <c r="C11542" i="1"/>
  <c r="C11541" i="1"/>
  <c r="C11540" i="1"/>
  <c r="C11539" i="1"/>
  <c r="C11538" i="1"/>
  <c r="C11537" i="1"/>
  <c r="C11536" i="1"/>
  <c r="C11535" i="1"/>
  <c r="C11534" i="1"/>
  <c r="C11533" i="1"/>
  <c r="C11532" i="1"/>
  <c r="C11531" i="1"/>
  <c r="C11530" i="1"/>
  <c r="C11529" i="1"/>
  <c r="C11528" i="1"/>
  <c r="C11527" i="1"/>
  <c r="C11526" i="1"/>
  <c r="C11525" i="1"/>
  <c r="C11524" i="1"/>
  <c r="C11523" i="1"/>
  <c r="C11522" i="1"/>
  <c r="C11521" i="1"/>
  <c r="C11520" i="1"/>
  <c r="C11519" i="1"/>
  <c r="C11518" i="1"/>
  <c r="C11517" i="1"/>
  <c r="C11516" i="1"/>
  <c r="C11515" i="1"/>
  <c r="C11514" i="1"/>
  <c r="C11513" i="1"/>
  <c r="C11512" i="1"/>
  <c r="C11511" i="1"/>
  <c r="C11510" i="1"/>
  <c r="C11509" i="1"/>
  <c r="C11508" i="1"/>
  <c r="C11507" i="1"/>
  <c r="C11506" i="1"/>
  <c r="C11505" i="1"/>
  <c r="C11504" i="1"/>
  <c r="C11503" i="1"/>
  <c r="C11502" i="1"/>
  <c r="C11501" i="1"/>
  <c r="C11500" i="1"/>
  <c r="C11499" i="1"/>
  <c r="C11498" i="1"/>
  <c r="C11497" i="1"/>
  <c r="C11496" i="1"/>
  <c r="C11495" i="1"/>
  <c r="C11494" i="1"/>
  <c r="C11493" i="1"/>
  <c r="C11492" i="1"/>
  <c r="C11491" i="1"/>
  <c r="C11490" i="1"/>
  <c r="C11489" i="1"/>
  <c r="C11488" i="1"/>
  <c r="C11487" i="1"/>
  <c r="C11486" i="1"/>
  <c r="C11485" i="1"/>
  <c r="C11484" i="1"/>
  <c r="C11483" i="1"/>
  <c r="C11482" i="1"/>
  <c r="C11481" i="1"/>
  <c r="C11480" i="1"/>
  <c r="C11479" i="1"/>
  <c r="C11478" i="1"/>
  <c r="C11477" i="1"/>
  <c r="C11476" i="1"/>
  <c r="C11475" i="1"/>
  <c r="C11474" i="1"/>
  <c r="C11473" i="1"/>
  <c r="C11472" i="1"/>
  <c r="C11471" i="1"/>
  <c r="C11470" i="1"/>
  <c r="C11469" i="1"/>
  <c r="C11468" i="1"/>
  <c r="C11467" i="1"/>
  <c r="C11466" i="1"/>
  <c r="C11465" i="1"/>
  <c r="C11464" i="1"/>
  <c r="C11463" i="1"/>
  <c r="C11462" i="1"/>
  <c r="C11461" i="1"/>
  <c r="C11460" i="1"/>
  <c r="C11459" i="1"/>
  <c r="C11458" i="1"/>
  <c r="C11457" i="1"/>
  <c r="C11456" i="1"/>
  <c r="C11455" i="1"/>
  <c r="C11454" i="1"/>
  <c r="C11453" i="1"/>
  <c r="C11452" i="1"/>
  <c r="C11451" i="1"/>
  <c r="C11450" i="1"/>
  <c r="C11449" i="1"/>
  <c r="C11448" i="1"/>
  <c r="C11447" i="1"/>
  <c r="C11446" i="1"/>
  <c r="C11445" i="1"/>
  <c r="C11444" i="1"/>
  <c r="C11443" i="1"/>
  <c r="C11442" i="1"/>
  <c r="C11441" i="1"/>
  <c r="C11440" i="1"/>
  <c r="C11439" i="1"/>
  <c r="C11438" i="1"/>
  <c r="C11437" i="1"/>
  <c r="C11436" i="1"/>
  <c r="C11435" i="1"/>
  <c r="C11434" i="1"/>
  <c r="C11433" i="1"/>
  <c r="C11432" i="1"/>
  <c r="C11431" i="1"/>
  <c r="C11430" i="1"/>
  <c r="C11429" i="1"/>
  <c r="C11428" i="1"/>
  <c r="C11427" i="1"/>
  <c r="C11426" i="1"/>
  <c r="C11425" i="1"/>
  <c r="C11424" i="1"/>
  <c r="C11423" i="1"/>
  <c r="C11422" i="1"/>
  <c r="C11421" i="1"/>
  <c r="C11420" i="1"/>
  <c r="C11419" i="1"/>
  <c r="C11418" i="1"/>
  <c r="C11417" i="1"/>
  <c r="C11416" i="1"/>
  <c r="C11415" i="1"/>
  <c r="C11414" i="1"/>
  <c r="C11413" i="1"/>
  <c r="C11412" i="1"/>
  <c r="C11411" i="1"/>
  <c r="C11410" i="1"/>
  <c r="C11409" i="1"/>
  <c r="C11408" i="1"/>
  <c r="C11407" i="1"/>
  <c r="C11406" i="1"/>
  <c r="C11405" i="1"/>
  <c r="C11404" i="1"/>
  <c r="C11403" i="1"/>
  <c r="C11402" i="1"/>
  <c r="C11401" i="1"/>
  <c r="C11400" i="1"/>
  <c r="C11399" i="1"/>
  <c r="C11398" i="1"/>
  <c r="C11397" i="1"/>
  <c r="C11396" i="1"/>
  <c r="C11395" i="1"/>
  <c r="C11394" i="1"/>
  <c r="C11393" i="1"/>
  <c r="C11392" i="1"/>
  <c r="C11391" i="1"/>
  <c r="C11390" i="1"/>
  <c r="C11389" i="1"/>
  <c r="C11388" i="1"/>
  <c r="C11387" i="1"/>
  <c r="C11386" i="1"/>
  <c r="C11385" i="1"/>
  <c r="C11384" i="1"/>
  <c r="C11383" i="1"/>
  <c r="C11382" i="1"/>
  <c r="C11381" i="1"/>
  <c r="C11380" i="1"/>
  <c r="C11379" i="1"/>
  <c r="C11378" i="1"/>
  <c r="C11377" i="1"/>
  <c r="C11376" i="1"/>
  <c r="C11375" i="1"/>
  <c r="C11374" i="1"/>
  <c r="C11373" i="1"/>
  <c r="C11372" i="1"/>
  <c r="C11371" i="1"/>
  <c r="C11370" i="1"/>
  <c r="C11369" i="1"/>
  <c r="C11368" i="1"/>
  <c r="C11367" i="1"/>
  <c r="C11366" i="1"/>
  <c r="C11365" i="1"/>
  <c r="C11364" i="1"/>
  <c r="C11363" i="1"/>
  <c r="C11362" i="1"/>
  <c r="C11361" i="1"/>
  <c r="C11360" i="1"/>
  <c r="C11359" i="1"/>
  <c r="C11358" i="1"/>
  <c r="C11357" i="1"/>
  <c r="C11356" i="1"/>
  <c r="C11355" i="1"/>
  <c r="C11354" i="1"/>
  <c r="C11353" i="1"/>
  <c r="C11352" i="1"/>
  <c r="C11351" i="1"/>
  <c r="C11350" i="1"/>
  <c r="C11349" i="1"/>
  <c r="C11348" i="1"/>
  <c r="C11347" i="1"/>
  <c r="C11346" i="1"/>
  <c r="C11345" i="1"/>
  <c r="C11344" i="1"/>
  <c r="C11343" i="1"/>
  <c r="C11342" i="1"/>
  <c r="C11341" i="1"/>
  <c r="C11340" i="1"/>
  <c r="C11339" i="1"/>
  <c r="C11338" i="1"/>
  <c r="C11337" i="1"/>
  <c r="C11336" i="1"/>
  <c r="C11335" i="1"/>
  <c r="C11334" i="1"/>
  <c r="C11333" i="1"/>
  <c r="C11332" i="1"/>
  <c r="C11331" i="1"/>
  <c r="C11330" i="1"/>
  <c r="C11329" i="1"/>
  <c r="C11328" i="1"/>
  <c r="C11327" i="1"/>
  <c r="C11326" i="1"/>
  <c r="C11325" i="1"/>
  <c r="C11324" i="1"/>
  <c r="C11323" i="1"/>
  <c r="C11322" i="1"/>
  <c r="C11321" i="1"/>
  <c r="C11320" i="1"/>
  <c r="C11319" i="1"/>
  <c r="C11318" i="1"/>
  <c r="C11317" i="1"/>
  <c r="C11316" i="1"/>
  <c r="C11315" i="1"/>
  <c r="C11314" i="1"/>
  <c r="C11313" i="1"/>
  <c r="C11312" i="1"/>
  <c r="C11311" i="1"/>
  <c r="C11310" i="1"/>
  <c r="C11309" i="1"/>
  <c r="C11308" i="1"/>
  <c r="C11307" i="1"/>
  <c r="C11306" i="1"/>
  <c r="C11305" i="1"/>
  <c r="C11304" i="1"/>
  <c r="C11303" i="1"/>
  <c r="C11302" i="1"/>
  <c r="C11301" i="1"/>
  <c r="C11300" i="1"/>
  <c r="C11299" i="1"/>
  <c r="C11298" i="1"/>
  <c r="C11297" i="1"/>
  <c r="C11296" i="1"/>
  <c r="C11295" i="1"/>
  <c r="C11294" i="1"/>
  <c r="C11293" i="1"/>
  <c r="C11292" i="1"/>
  <c r="C11291" i="1"/>
  <c r="C11290" i="1"/>
  <c r="C11289" i="1"/>
  <c r="C11288" i="1"/>
  <c r="C11287" i="1"/>
  <c r="C11286" i="1"/>
  <c r="C11285" i="1"/>
  <c r="C11284" i="1"/>
  <c r="C11283" i="1"/>
  <c r="C11282" i="1"/>
  <c r="C11281" i="1"/>
  <c r="C11280" i="1"/>
  <c r="C11279" i="1"/>
  <c r="C11278" i="1"/>
  <c r="C11277" i="1"/>
  <c r="C11276" i="1"/>
  <c r="C11275" i="1"/>
  <c r="C11274" i="1"/>
  <c r="C11273" i="1"/>
  <c r="C11272" i="1"/>
  <c r="C11271" i="1"/>
  <c r="C11270" i="1"/>
  <c r="C11269" i="1"/>
  <c r="C11268" i="1"/>
  <c r="C11267" i="1"/>
  <c r="C11266" i="1"/>
  <c r="C11265" i="1"/>
  <c r="C11264" i="1"/>
  <c r="C11263" i="1"/>
  <c r="C11262" i="1"/>
  <c r="C11261" i="1"/>
  <c r="C11260" i="1"/>
  <c r="C11259" i="1"/>
  <c r="C11258" i="1"/>
  <c r="C11257" i="1"/>
  <c r="C11256" i="1"/>
  <c r="C11255" i="1"/>
  <c r="C11254" i="1"/>
  <c r="C11253" i="1"/>
  <c r="C11252" i="1"/>
  <c r="C11251" i="1"/>
  <c r="C11250" i="1"/>
  <c r="C11249" i="1"/>
  <c r="C11248" i="1"/>
  <c r="C11247" i="1"/>
  <c r="C11246" i="1"/>
  <c r="C11245" i="1"/>
  <c r="C11244" i="1"/>
  <c r="C11243" i="1"/>
  <c r="C11242" i="1"/>
  <c r="C11241" i="1"/>
  <c r="C11240" i="1"/>
  <c r="C11239" i="1"/>
  <c r="C11238" i="1"/>
  <c r="C11237" i="1"/>
  <c r="C11236" i="1"/>
  <c r="C11235" i="1"/>
  <c r="C11234" i="1"/>
  <c r="C11233" i="1"/>
  <c r="C11232" i="1"/>
  <c r="C11231" i="1"/>
  <c r="C11230" i="1"/>
  <c r="C11229" i="1"/>
  <c r="C11228" i="1"/>
  <c r="C11227" i="1"/>
  <c r="C11226" i="1"/>
  <c r="C11225" i="1"/>
  <c r="C11224" i="1"/>
  <c r="C11223" i="1"/>
  <c r="C11222" i="1"/>
  <c r="C11221" i="1"/>
  <c r="C11220" i="1"/>
  <c r="C11219" i="1"/>
  <c r="C11218" i="1"/>
  <c r="C11217" i="1"/>
  <c r="C11216" i="1"/>
  <c r="C11215" i="1"/>
  <c r="C11214" i="1"/>
  <c r="C11213" i="1"/>
  <c r="C11212" i="1"/>
  <c r="C11211" i="1"/>
  <c r="C11210" i="1"/>
  <c r="C11209" i="1"/>
  <c r="C11208" i="1"/>
  <c r="C11207" i="1"/>
  <c r="C11206" i="1"/>
  <c r="C11205" i="1"/>
  <c r="C11204" i="1"/>
  <c r="C11203" i="1"/>
  <c r="C11202" i="1"/>
  <c r="C11201" i="1"/>
  <c r="C11200" i="1"/>
  <c r="C11199" i="1"/>
  <c r="C11198" i="1"/>
  <c r="C11197" i="1"/>
  <c r="C11196" i="1"/>
  <c r="C11195" i="1"/>
  <c r="C11194" i="1"/>
  <c r="C11193" i="1"/>
  <c r="C11192" i="1"/>
  <c r="C11191" i="1"/>
  <c r="C11190" i="1"/>
  <c r="C11189" i="1"/>
  <c r="C11188" i="1"/>
  <c r="C11187" i="1"/>
  <c r="C11186" i="1"/>
  <c r="C11185" i="1"/>
  <c r="C11184" i="1"/>
  <c r="C11183" i="1"/>
  <c r="C11182" i="1"/>
  <c r="C11181" i="1"/>
  <c r="C11180" i="1"/>
  <c r="C11179" i="1"/>
  <c r="C11178" i="1"/>
  <c r="C11177" i="1"/>
  <c r="C11176" i="1"/>
  <c r="C11175" i="1"/>
  <c r="C11174" i="1"/>
  <c r="C11173" i="1"/>
  <c r="C11172" i="1"/>
  <c r="C11171" i="1"/>
  <c r="C11170" i="1"/>
  <c r="C11169" i="1"/>
  <c r="C11168" i="1"/>
  <c r="C11167" i="1"/>
  <c r="C11166" i="1"/>
  <c r="C11165" i="1"/>
  <c r="C11164" i="1"/>
  <c r="C11163" i="1"/>
  <c r="C11162" i="1"/>
  <c r="C11161" i="1"/>
  <c r="C11160" i="1"/>
  <c r="C11159" i="1"/>
  <c r="C11158" i="1"/>
  <c r="C11157" i="1"/>
  <c r="C11156" i="1"/>
  <c r="C11155" i="1"/>
  <c r="C11154" i="1"/>
  <c r="C11153" i="1"/>
  <c r="C11152" i="1"/>
  <c r="C11151" i="1"/>
  <c r="C11150" i="1"/>
  <c r="C11149" i="1"/>
  <c r="C11148" i="1"/>
  <c r="C11147" i="1"/>
  <c r="C11146" i="1"/>
  <c r="C11145" i="1"/>
  <c r="C11144" i="1"/>
  <c r="C11143" i="1"/>
  <c r="C11142" i="1"/>
  <c r="C11141" i="1"/>
  <c r="C11140" i="1"/>
  <c r="C11139" i="1"/>
  <c r="C11138" i="1"/>
  <c r="C11137" i="1"/>
  <c r="C11136" i="1"/>
  <c r="C11135" i="1"/>
  <c r="C11134" i="1"/>
  <c r="C11133" i="1"/>
  <c r="C11132" i="1"/>
  <c r="C11131" i="1"/>
  <c r="C11130" i="1"/>
  <c r="C11129" i="1"/>
  <c r="C11128" i="1"/>
  <c r="C11127" i="1"/>
  <c r="C11126" i="1"/>
  <c r="C11125" i="1"/>
  <c r="C11124" i="1"/>
  <c r="C11123" i="1"/>
  <c r="C11122" i="1"/>
  <c r="C11121" i="1"/>
  <c r="C11120" i="1"/>
  <c r="C11119" i="1"/>
  <c r="C11118" i="1"/>
  <c r="C11117" i="1"/>
  <c r="C11116" i="1"/>
  <c r="C11115" i="1"/>
  <c r="C11114" i="1"/>
  <c r="C11113" i="1"/>
  <c r="C11112" i="1"/>
  <c r="C11111" i="1"/>
  <c r="C11110" i="1"/>
  <c r="C11109" i="1"/>
  <c r="C11108" i="1"/>
  <c r="C11107" i="1"/>
  <c r="C11106" i="1"/>
  <c r="C11105" i="1"/>
  <c r="C11104" i="1"/>
  <c r="C11103" i="1"/>
  <c r="C11102" i="1"/>
  <c r="C11101" i="1"/>
  <c r="C11100" i="1"/>
  <c r="C11099" i="1"/>
  <c r="C11098" i="1"/>
  <c r="C11097" i="1"/>
  <c r="C11096" i="1"/>
  <c r="C11095" i="1"/>
  <c r="C11094" i="1"/>
  <c r="C11093" i="1"/>
  <c r="C11092" i="1"/>
  <c r="C11091" i="1"/>
  <c r="C11090" i="1"/>
  <c r="C11089" i="1"/>
  <c r="C11088" i="1"/>
  <c r="C11087" i="1"/>
  <c r="C11086" i="1"/>
  <c r="C11085" i="1"/>
  <c r="C11084" i="1"/>
  <c r="C11083" i="1"/>
  <c r="C11082" i="1"/>
  <c r="C11081" i="1"/>
  <c r="C11080" i="1"/>
  <c r="C11079" i="1"/>
  <c r="C11078" i="1"/>
  <c r="C11077" i="1"/>
  <c r="C11076" i="1"/>
  <c r="C11075" i="1"/>
  <c r="C11074" i="1"/>
  <c r="C11073" i="1"/>
  <c r="C11072" i="1"/>
  <c r="C11071" i="1"/>
  <c r="C11070" i="1"/>
  <c r="C11069" i="1"/>
  <c r="C11068" i="1"/>
  <c r="C11067" i="1"/>
  <c r="C11066" i="1"/>
  <c r="C11065" i="1"/>
  <c r="C11064" i="1"/>
  <c r="C11063" i="1"/>
  <c r="C11062" i="1"/>
  <c r="C11061" i="1"/>
  <c r="C11060" i="1"/>
  <c r="C11059" i="1"/>
  <c r="C11058" i="1"/>
  <c r="C11057" i="1"/>
  <c r="C11056" i="1"/>
  <c r="C11055" i="1"/>
  <c r="C11054" i="1"/>
  <c r="C11053" i="1"/>
  <c r="C11052" i="1"/>
  <c r="C11051" i="1"/>
  <c r="C11050" i="1"/>
  <c r="C11049" i="1"/>
  <c r="C11048" i="1"/>
  <c r="C11047" i="1"/>
  <c r="C11046" i="1"/>
  <c r="C11045" i="1"/>
  <c r="C11044" i="1"/>
  <c r="C11043" i="1"/>
  <c r="C11042" i="1"/>
  <c r="C11041" i="1"/>
  <c r="C11040" i="1"/>
  <c r="C11039" i="1"/>
  <c r="C11038" i="1"/>
  <c r="C11037" i="1"/>
  <c r="C11036" i="1"/>
  <c r="C11035" i="1"/>
  <c r="C11034" i="1"/>
  <c r="C11033" i="1"/>
  <c r="C11032" i="1"/>
  <c r="C11031" i="1"/>
  <c r="C11030" i="1"/>
  <c r="C11029" i="1"/>
  <c r="C11028" i="1"/>
  <c r="C11027" i="1"/>
  <c r="C11026" i="1"/>
  <c r="C11025" i="1"/>
  <c r="C11024" i="1"/>
  <c r="C11023" i="1"/>
  <c r="C11022" i="1"/>
  <c r="C11021" i="1"/>
  <c r="C11020" i="1"/>
  <c r="C11019" i="1"/>
  <c r="C11018" i="1"/>
  <c r="C11017" i="1"/>
  <c r="C11016" i="1"/>
  <c r="C11015" i="1"/>
  <c r="C11014" i="1"/>
  <c r="C11013" i="1"/>
  <c r="C11012" i="1"/>
  <c r="C11011" i="1"/>
  <c r="C11010" i="1"/>
  <c r="C11009" i="1"/>
  <c r="C11008" i="1"/>
  <c r="C11007" i="1"/>
  <c r="C11006" i="1"/>
  <c r="C11005" i="1"/>
  <c r="C11004" i="1"/>
  <c r="C11003" i="1"/>
  <c r="C11002" i="1"/>
  <c r="C11001" i="1"/>
  <c r="C11000" i="1"/>
  <c r="C10999" i="1"/>
  <c r="C10998" i="1"/>
  <c r="C10997" i="1"/>
  <c r="C10996" i="1"/>
  <c r="C10995" i="1"/>
  <c r="C10994" i="1"/>
  <c r="C10993" i="1"/>
  <c r="C10992" i="1"/>
  <c r="C10991" i="1"/>
  <c r="C10990" i="1"/>
  <c r="C10989" i="1"/>
  <c r="C10988" i="1"/>
  <c r="C10987" i="1"/>
  <c r="C10986" i="1"/>
  <c r="C10985" i="1"/>
  <c r="C10984" i="1"/>
  <c r="C10983" i="1"/>
  <c r="C10982" i="1"/>
  <c r="C10981" i="1"/>
  <c r="C10980" i="1"/>
  <c r="C10979" i="1"/>
  <c r="C10978" i="1"/>
  <c r="C10977" i="1"/>
  <c r="C10976" i="1"/>
  <c r="C10975" i="1"/>
  <c r="C10974" i="1"/>
  <c r="C10973" i="1"/>
  <c r="C10972" i="1"/>
  <c r="C10971" i="1"/>
  <c r="C10970" i="1"/>
  <c r="C10969" i="1"/>
  <c r="C10968" i="1"/>
  <c r="C10967" i="1"/>
  <c r="C10966" i="1"/>
  <c r="C10965" i="1"/>
  <c r="C10964" i="1"/>
  <c r="C10963" i="1"/>
  <c r="C10962" i="1"/>
  <c r="C10961" i="1"/>
  <c r="C10960" i="1"/>
  <c r="C10959" i="1"/>
  <c r="C10958" i="1"/>
  <c r="C10957" i="1"/>
  <c r="C10956" i="1"/>
  <c r="C10955" i="1"/>
  <c r="C10954" i="1"/>
  <c r="C10953" i="1"/>
  <c r="C10952" i="1"/>
  <c r="C10951" i="1"/>
  <c r="C10950" i="1"/>
  <c r="C10949" i="1"/>
  <c r="C10948" i="1"/>
  <c r="C10947" i="1"/>
  <c r="C10946" i="1"/>
  <c r="C10945" i="1"/>
  <c r="C10944" i="1"/>
  <c r="C10943" i="1"/>
  <c r="C10942" i="1"/>
  <c r="C10941" i="1"/>
  <c r="C10940" i="1"/>
  <c r="C10939" i="1"/>
  <c r="C10938" i="1"/>
  <c r="C10937" i="1"/>
  <c r="C10936" i="1"/>
  <c r="C10935" i="1"/>
  <c r="C10934" i="1"/>
  <c r="C10933" i="1"/>
  <c r="C10932" i="1"/>
  <c r="C10931" i="1"/>
  <c r="C10930" i="1"/>
  <c r="C10929" i="1"/>
  <c r="C10928" i="1"/>
  <c r="C10927" i="1"/>
  <c r="C10926" i="1"/>
  <c r="C10925" i="1"/>
  <c r="C10924" i="1"/>
  <c r="C10923" i="1"/>
  <c r="C10922" i="1"/>
  <c r="C10921" i="1"/>
  <c r="C10920" i="1"/>
  <c r="C10919" i="1"/>
  <c r="C10918" i="1"/>
  <c r="C10917" i="1"/>
  <c r="C10916" i="1"/>
  <c r="C10915" i="1"/>
  <c r="C10914" i="1"/>
  <c r="C10913" i="1"/>
  <c r="C10912" i="1"/>
  <c r="C10911" i="1"/>
  <c r="C10910" i="1"/>
  <c r="C10909" i="1"/>
  <c r="C10908" i="1"/>
  <c r="C10907" i="1"/>
  <c r="C10906" i="1"/>
  <c r="C10905" i="1"/>
  <c r="C10904" i="1"/>
  <c r="C10903" i="1"/>
  <c r="C10902" i="1"/>
  <c r="C10901" i="1"/>
  <c r="C10900" i="1"/>
  <c r="C10899" i="1"/>
  <c r="C10898" i="1"/>
  <c r="C10897" i="1"/>
  <c r="C10896" i="1"/>
  <c r="C10895" i="1"/>
  <c r="C10894" i="1"/>
  <c r="C10893" i="1"/>
  <c r="C10892" i="1"/>
  <c r="C10891" i="1"/>
  <c r="C10890" i="1"/>
  <c r="C10889" i="1"/>
  <c r="C10888" i="1"/>
  <c r="C10887" i="1"/>
  <c r="C10886" i="1"/>
  <c r="C10885" i="1"/>
  <c r="C10884" i="1"/>
  <c r="C10883" i="1"/>
  <c r="C10882" i="1"/>
  <c r="C10881" i="1"/>
  <c r="C10880" i="1"/>
  <c r="C10879" i="1"/>
  <c r="C10878" i="1"/>
  <c r="C10877" i="1"/>
  <c r="C10876" i="1"/>
  <c r="C10875" i="1"/>
  <c r="C10874" i="1"/>
  <c r="C10873" i="1"/>
  <c r="C10872" i="1"/>
  <c r="C10871" i="1"/>
  <c r="C10870" i="1"/>
  <c r="C10869" i="1"/>
  <c r="C10868" i="1"/>
  <c r="C10867" i="1"/>
  <c r="C10866" i="1"/>
  <c r="C10865" i="1"/>
  <c r="C10864" i="1"/>
  <c r="C10863" i="1"/>
  <c r="C10862" i="1"/>
  <c r="C10861" i="1"/>
  <c r="C10860" i="1"/>
  <c r="C10859" i="1"/>
  <c r="C10858" i="1"/>
  <c r="C10857" i="1"/>
  <c r="C10856" i="1"/>
  <c r="C10855" i="1"/>
  <c r="C10854" i="1"/>
  <c r="C10853" i="1"/>
  <c r="C10852" i="1"/>
  <c r="C10851" i="1"/>
  <c r="C10850" i="1"/>
  <c r="C10849" i="1"/>
  <c r="C10848" i="1"/>
  <c r="C10847" i="1"/>
  <c r="C10846" i="1"/>
  <c r="C10845" i="1"/>
  <c r="C10844" i="1"/>
  <c r="C10843" i="1"/>
  <c r="C10842" i="1"/>
  <c r="C10841" i="1"/>
  <c r="C10840" i="1"/>
  <c r="C10839" i="1"/>
  <c r="C10838" i="1"/>
  <c r="C10837" i="1"/>
  <c r="C10836" i="1"/>
  <c r="C10835" i="1"/>
  <c r="C10834" i="1"/>
  <c r="C10833" i="1"/>
  <c r="C10832" i="1"/>
  <c r="C10831" i="1"/>
  <c r="C10830" i="1"/>
  <c r="C10829" i="1"/>
  <c r="C10828" i="1"/>
  <c r="C10827" i="1"/>
  <c r="C10826" i="1"/>
  <c r="C10825" i="1"/>
  <c r="C10824" i="1"/>
  <c r="C10823" i="1"/>
  <c r="C10822" i="1"/>
  <c r="C10821" i="1"/>
  <c r="C10820" i="1"/>
  <c r="C10819" i="1"/>
  <c r="C10818" i="1"/>
  <c r="C10817" i="1"/>
  <c r="C10816" i="1"/>
  <c r="C10815" i="1"/>
  <c r="C10814" i="1"/>
  <c r="C10813" i="1"/>
  <c r="C10812" i="1"/>
  <c r="C10811" i="1"/>
  <c r="C10810" i="1"/>
  <c r="C10809" i="1"/>
  <c r="C10808" i="1"/>
  <c r="C10807" i="1"/>
  <c r="C10806" i="1"/>
  <c r="C10805" i="1"/>
  <c r="C10804" i="1"/>
  <c r="C10803" i="1"/>
  <c r="C10802" i="1"/>
  <c r="C10801" i="1"/>
  <c r="C10800" i="1"/>
  <c r="C10799" i="1"/>
  <c r="C10798" i="1"/>
  <c r="C10797" i="1"/>
  <c r="C10796" i="1"/>
  <c r="C10795" i="1"/>
  <c r="C10794" i="1"/>
  <c r="C10793" i="1"/>
  <c r="C10792" i="1"/>
  <c r="C10791" i="1"/>
  <c r="C10790" i="1"/>
  <c r="C10789" i="1"/>
  <c r="C10788" i="1"/>
  <c r="C10787" i="1"/>
  <c r="C10786" i="1"/>
  <c r="C10785" i="1"/>
  <c r="C10784" i="1"/>
  <c r="C10783" i="1"/>
  <c r="C10782" i="1"/>
  <c r="C10781" i="1"/>
  <c r="C10780" i="1"/>
  <c r="C10779" i="1"/>
  <c r="C10778" i="1"/>
  <c r="C10777" i="1"/>
  <c r="C10776" i="1"/>
  <c r="C10775" i="1"/>
  <c r="C10774" i="1"/>
  <c r="C10773" i="1"/>
  <c r="C10772" i="1"/>
  <c r="C10771" i="1"/>
  <c r="C10770" i="1"/>
  <c r="C10769" i="1"/>
  <c r="C10768" i="1"/>
  <c r="C10767" i="1"/>
  <c r="C10766" i="1"/>
  <c r="C10765" i="1"/>
  <c r="C10764" i="1"/>
  <c r="C10763" i="1"/>
  <c r="C10762" i="1"/>
  <c r="C10761" i="1"/>
  <c r="C10760" i="1"/>
  <c r="C10759" i="1"/>
  <c r="C10758" i="1"/>
  <c r="C10757" i="1"/>
  <c r="C10756" i="1"/>
  <c r="C10755" i="1"/>
  <c r="C10754" i="1"/>
  <c r="C10753" i="1"/>
  <c r="C10752" i="1"/>
  <c r="C10751" i="1"/>
  <c r="C10750" i="1"/>
  <c r="C10749" i="1"/>
  <c r="C10748" i="1"/>
  <c r="C10747" i="1"/>
  <c r="C10746" i="1"/>
  <c r="C10745" i="1"/>
  <c r="C10744" i="1"/>
  <c r="C10743" i="1"/>
  <c r="C10742" i="1"/>
  <c r="C10741" i="1"/>
  <c r="C10740" i="1"/>
  <c r="C10739" i="1"/>
  <c r="C10738" i="1"/>
  <c r="C10737" i="1"/>
  <c r="C10736" i="1"/>
  <c r="C10735" i="1"/>
  <c r="C10734" i="1"/>
  <c r="C10733" i="1"/>
  <c r="C10732" i="1"/>
  <c r="C10731" i="1"/>
  <c r="C10730" i="1"/>
  <c r="C10729" i="1"/>
  <c r="C10728" i="1"/>
  <c r="C10727" i="1"/>
  <c r="C10726" i="1"/>
  <c r="C10725" i="1"/>
  <c r="C10724" i="1"/>
  <c r="C10723" i="1"/>
  <c r="C10722" i="1"/>
  <c r="C10721" i="1"/>
  <c r="C10720" i="1"/>
  <c r="C10719" i="1"/>
  <c r="C10718" i="1"/>
  <c r="C10717" i="1"/>
  <c r="C10716" i="1"/>
  <c r="C10715" i="1"/>
  <c r="C10714" i="1"/>
  <c r="C10713" i="1"/>
  <c r="C10712" i="1"/>
  <c r="C10711" i="1"/>
  <c r="C10710" i="1"/>
  <c r="C10709" i="1"/>
  <c r="C10708" i="1"/>
  <c r="C10707" i="1"/>
  <c r="C10706" i="1"/>
  <c r="C10705" i="1"/>
  <c r="C10704" i="1"/>
  <c r="C10703" i="1"/>
  <c r="C10702" i="1"/>
  <c r="C10701" i="1"/>
  <c r="C10700" i="1"/>
  <c r="C10699" i="1"/>
  <c r="C10698" i="1"/>
  <c r="C10697" i="1"/>
  <c r="C10696" i="1"/>
  <c r="C10695" i="1"/>
  <c r="C10694" i="1"/>
  <c r="C10693" i="1"/>
  <c r="C10692" i="1"/>
  <c r="C10691" i="1"/>
  <c r="C10690" i="1"/>
  <c r="C10689" i="1"/>
  <c r="C10688" i="1"/>
  <c r="C10687" i="1"/>
  <c r="C10686" i="1"/>
  <c r="C10685" i="1"/>
  <c r="C10684" i="1"/>
  <c r="C10683" i="1"/>
  <c r="C10682" i="1"/>
  <c r="C10681" i="1"/>
  <c r="C10680" i="1"/>
  <c r="C10679" i="1"/>
  <c r="C10678" i="1"/>
  <c r="C10677" i="1"/>
  <c r="C10676" i="1"/>
  <c r="C10675" i="1"/>
  <c r="C10674" i="1"/>
  <c r="C10673" i="1"/>
  <c r="C10672" i="1"/>
  <c r="C10671" i="1"/>
  <c r="C10670" i="1"/>
  <c r="C10669" i="1"/>
  <c r="C10668" i="1"/>
  <c r="C10667" i="1"/>
  <c r="C10666" i="1"/>
  <c r="C10665" i="1"/>
  <c r="C10664" i="1"/>
  <c r="C10663" i="1"/>
  <c r="C10662" i="1"/>
  <c r="C10661" i="1"/>
  <c r="C10660" i="1"/>
  <c r="C10659" i="1"/>
  <c r="C10658" i="1"/>
  <c r="C10657" i="1"/>
  <c r="C10656" i="1"/>
  <c r="C10655" i="1"/>
  <c r="C10654" i="1"/>
  <c r="C10653" i="1"/>
  <c r="C10652" i="1"/>
  <c r="C10651" i="1"/>
  <c r="C10650" i="1"/>
  <c r="C10649" i="1"/>
  <c r="C10648" i="1"/>
  <c r="C10647" i="1"/>
  <c r="C10646" i="1"/>
  <c r="C10645" i="1"/>
  <c r="C10644" i="1"/>
  <c r="C10643" i="1"/>
  <c r="C10642" i="1"/>
  <c r="C10641" i="1"/>
  <c r="C10640" i="1"/>
  <c r="C10639" i="1"/>
  <c r="C10638" i="1"/>
  <c r="C10637" i="1"/>
  <c r="C10636" i="1"/>
  <c r="C10635" i="1"/>
  <c r="C10634" i="1"/>
  <c r="C10633" i="1"/>
  <c r="C10632" i="1"/>
  <c r="C10631" i="1"/>
  <c r="C10630" i="1"/>
  <c r="C10629" i="1"/>
  <c r="C10628" i="1"/>
  <c r="C10627" i="1"/>
  <c r="C10626" i="1"/>
  <c r="C10625" i="1"/>
  <c r="C10624" i="1"/>
  <c r="C10623" i="1"/>
  <c r="C10622" i="1"/>
  <c r="C10621" i="1"/>
  <c r="C10620" i="1"/>
  <c r="C10619" i="1"/>
  <c r="C10618" i="1"/>
  <c r="C10617" i="1"/>
  <c r="C10616" i="1"/>
  <c r="C10615" i="1"/>
  <c r="C10614" i="1"/>
  <c r="C10613" i="1"/>
  <c r="C10612" i="1"/>
  <c r="C10611" i="1"/>
  <c r="C10610" i="1"/>
  <c r="C10609" i="1"/>
  <c r="C10608" i="1"/>
  <c r="C10607" i="1"/>
  <c r="C10606" i="1"/>
  <c r="C10605" i="1"/>
  <c r="C10604" i="1"/>
  <c r="C10603" i="1"/>
  <c r="C10602" i="1"/>
  <c r="C10601" i="1"/>
  <c r="C10600" i="1"/>
  <c r="C10599" i="1"/>
  <c r="C10598" i="1"/>
  <c r="C10597" i="1"/>
  <c r="C10596" i="1"/>
  <c r="C10595" i="1"/>
  <c r="C10594" i="1"/>
  <c r="C10593" i="1"/>
  <c r="C10592" i="1"/>
  <c r="C10591" i="1"/>
  <c r="C10590" i="1"/>
  <c r="C10589" i="1"/>
  <c r="C10588" i="1"/>
  <c r="C10587" i="1"/>
  <c r="C10586" i="1"/>
  <c r="C10585" i="1"/>
  <c r="C10584" i="1"/>
  <c r="C10583" i="1"/>
  <c r="C10582" i="1"/>
  <c r="C10581" i="1"/>
  <c r="C10580" i="1"/>
  <c r="C10579" i="1"/>
  <c r="C10578" i="1"/>
  <c r="C10577" i="1"/>
  <c r="C10576" i="1"/>
  <c r="C10575" i="1"/>
  <c r="C10574" i="1"/>
  <c r="C10573" i="1"/>
  <c r="C10572" i="1"/>
  <c r="C10571" i="1"/>
  <c r="C10570" i="1"/>
  <c r="C10569" i="1"/>
  <c r="C10568" i="1"/>
  <c r="C10567" i="1"/>
  <c r="C10566" i="1"/>
  <c r="C10565" i="1"/>
  <c r="C10564" i="1"/>
  <c r="C10563" i="1"/>
  <c r="C10562" i="1"/>
  <c r="C10561" i="1"/>
  <c r="C10560" i="1"/>
  <c r="C10559" i="1"/>
  <c r="C10558" i="1"/>
  <c r="C10557" i="1"/>
  <c r="C10556" i="1"/>
  <c r="C10555" i="1"/>
  <c r="C10554" i="1"/>
  <c r="C10553" i="1"/>
  <c r="C10552" i="1"/>
  <c r="C10551" i="1"/>
  <c r="C10550" i="1"/>
  <c r="C10549" i="1"/>
  <c r="C10548" i="1"/>
  <c r="C10547" i="1"/>
  <c r="C10546" i="1"/>
  <c r="C10545" i="1"/>
  <c r="C10544" i="1"/>
  <c r="C10543" i="1"/>
  <c r="C10542" i="1"/>
  <c r="C10541" i="1"/>
  <c r="C10540" i="1"/>
  <c r="C10539" i="1"/>
  <c r="C10538" i="1"/>
  <c r="C10537" i="1"/>
  <c r="C10536" i="1"/>
  <c r="C10535" i="1"/>
  <c r="C10534" i="1"/>
  <c r="C10533" i="1"/>
  <c r="C10532" i="1"/>
  <c r="C10531" i="1"/>
  <c r="C10530" i="1"/>
  <c r="C10529" i="1"/>
  <c r="C10528" i="1"/>
  <c r="C10527" i="1"/>
  <c r="C10526" i="1"/>
  <c r="C10525" i="1"/>
  <c r="C10524" i="1"/>
  <c r="C10523" i="1"/>
  <c r="C10522" i="1"/>
  <c r="C10521" i="1"/>
  <c r="C10520" i="1"/>
  <c r="C10519" i="1"/>
  <c r="C10518" i="1"/>
  <c r="C10517" i="1"/>
  <c r="C10516" i="1"/>
  <c r="C10515" i="1"/>
  <c r="C10514" i="1"/>
  <c r="C10513" i="1"/>
  <c r="C10512" i="1"/>
  <c r="C10511" i="1"/>
  <c r="C10510" i="1"/>
  <c r="C10509" i="1"/>
  <c r="C10508" i="1"/>
  <c r="C10507" i="1"/>
  <c r="C10506" i="1"/>
  <c r="C10505" i="1"/>
  <c r="C10504" i="1"/>
  <c r="C10503" i="1"/>
  <c r="C10502" i="1"/>
  <c r="C10501" i="1"/>
  <c r="C10500" i="1"/>
  <c r="C10499" i="1"/>
  <c r="C10498" i="1"/>
  <c r="C10497" i="1"/>
  <c r="C10496" i="1"/>
  <c r="C10495" i="1"/>
  <c r="C10494" i="1"/>
  <c r="C10493" i="1"/>
  <c r="C10492" i="1"/>
  <c r="C10491" i="1"/>
  <c r="C10490" i="1"/>
  <c r="C10489" i="1"/>
  <c r="C10488" i="1"/>
  <c r="C10487" i="1"/>
  <c r="C10486" i="1"/>
  <c r="C10485" i="1"/>
  <c r="C10484" i="1"/>
  <c r="C10483" i="1"/>
  <c r="C10482" i="1"/>
  <c r="C10481" i="1"/>
  <c r="C10480" i="1"/>
  <c r="C10479" i="1"/>
  <c r="C10478" i="1"/>
  <c r="C10477" i="1"/>
  <c r="C10476" i="1"/>
  <c r="C10475" i="1"/>
  <c r="C10474" i="1"/>
  <c r="C10473" i="1"/>
  <c r="C10472" i="1"/>
  <c r="C10471" i="1"/>
  <c r="C10470" i="1"/>
  <c r="C10469" i="1"/>
  <c r="C10468" i="1"/>
  <c r="C10467" i="1"/>
  <c r="C10466" i="1"/>
  <c r="C10465" i="1"/>
  <c r="C10464" i="1"/>
  <c r="C10463" i="1"/>
  <c r="C10462" i="1"/>
  <c r="C10461" i="1"/>
  <c r="C10460" i="1"/>
  <c r="C10459" i="1"/>
  <c r="C10458" i="1"/>
  <c r="C10457" i="1"/>
  <c r="C10456" i="1"/>
  <c r="C10455" i="1"/>
  <c r="C10454" i="1"/>
  <c r="C10453" i="1"/>
  <c r="C10452" i="1"/>
  <c r="C10451" i="1"/>
  <c r="C10450" i="1"/>
  <c r="C10449" i="1"/>
  <c r="C10448" i="1"/>
  <c r="C10447" i="1"/>
  <c r="C10446" i="1"/>
  <c r="C10445" i="1"/>
  <c r="C10444" i="1"/>
  <c r="C10443" i="1"/>
  <c r="C10442" i="1"/>
  <c r="C10441" i="1"/>
  <c r="C10440" i="1"/>
  <c r="C10439" i="1"/>
  <c r="C10438" i="1"/>
  <c r="C10437" i="1"/>
  <c r="C10436" i="1"/>
  <c r="C10435" i="1"/>
  <c r="C10434" i="1"/>
  <c r="C10433" i="1"/>
  <c r="C10432" i="1"/>
  <c r="C10431" i="1"/>
  <c r="C10430" i="1"/>
  <c r="C10429" i="1"/>
  <c r="C10428" i="1"/>
  <c r="C10427" i="1"/>
  <c r="C10426" i="1"/>
  <c r="C10425" i="1"/>
  <c r="C10424" i="1"/>
  <c r="C10423" i="1"/>
  <c r="C10422" i="1"/>
  <c r="C10421" i="1"/>
  <c r="C10420" i="1"/>
  <c r="C10419" i="1"/>
  <c r="C10418" i="1"/>
  <c r="C10417" i="1"/>
  <c r="C10416" i="1"/>
  <c r="C10415" i="1"/>
  <c r="C10414" i="1"/>
  <c r="C10413" i="1"/>
  <c r="C10412" i="1"/>
  <c r="C10411" i="1"/>
  <c r="C10410" i="1"/>
  <c r="C10409" i="1"/>
  <c r="C10408" i="1"/>
  <c r="C10407" i="1"/>
  <c r="C10406" i="1"/>
  <c r="C10405" i="1"/>
  <c r="C10404" i="1"/>
  <c r="C10403" i="1"/>
  <c r="C10402" i="1"/>
  <c r="C10401" i="1"/>
  <c r="C10400" i="1"/>
  <c r="C10399" i="1"/>
  <c r="C10398" i="1"/>
  <c r="C10397" i="1"/>
  <c r="C10396" i="1"/>
  <c r="C10395" i="1"/>
  <c r="C10394" i="1"/>
  <c r="C10393" i="1"/>
  <c r="C10392" i="1"/>
  <c r="C10391" i="1"/>
  <c r="C10390" i="1"/>
  <c r="C10389" i="1"/>
  <c r="C10388" i="1"/>
  <c r="C10387" i="1"/>
  <c r="C10386" i="1"/>
  <c r="C10385" i="1"/>
  <c r="C10384" i="1"/>
  <c r="C10383" i="1"/>
  <c r="C10382" i="1"/>
  <c r="C10381" i="1"/>
  <c r="C10380" i="1"/>
  <c r="C10379" i="1"/>
  <c r="C10378" i="1"/>
  <c r="C10377" i="1"/>
  <c r="C10376" i="1"/>
  <c r="C10375" i="1"/>
  <c r="C10374" i="1"/>
  <c r="C10373" i="1"/>
  <c r="C10372" i="1"/>
  <c r="C10371" i="1"/>
  <c r="C10370" i="1"/>
  <c r="C10369" i="1"/>
  <c r="C10368" i="1"/>
  <c r="C10367" i="1"/>
  <c r="C10366" i="1"/>
  <c r="C10365" i="1"/>
  <c r="C10364" i="1"/>
  <c r="C10363" i="1"/>
  <c r="C10362" i="1"/>
  <c r="C10361" i="1"/>
  <c r="C10360" i="1"/>
  <c r="C10359" i="1"/>
  <c r="C10358" i="1"/>
  <c r="C10357" i="1"/>
  <c r="C10356" i="1"/>
  <c r="C10355" i="1"/>
  <c r="C10354" i="1"/>
  <c r="C10353" i="1"/>
  <c r="C10352" i="1"/>
  <c r="C10351" i="1"/>
  <c r="C10350" i="1"/>
  <c r="C10349" i="1"/>
  <c r="C10348" i="1"/>
  <c r="C10347" i="1"/>
  <c r="C10346" i="1"/>
  <c r="C10345" i="1"/>
  <c r="C10344" i="1"/>
  <c r="C10343" i="1"/>
  <c r="C10342" i="1"/>
  <c r="C10341" i="1"/>
  <c r="C10340" i="1"/>
  <c r="C10339" i="1"/>
  <c r="C10338" i="1"/>
  <c r="C10337" i="1"/>
  <c r="C10336" i="1"/>
  <c r="C10335" i="1"/>
  <c r="C10334" i="1"/>
  <c r="C10333" i="1"/>
  <c r="C10332" i="1"/>
  <c r="C10331" i="1"/>
  <c r="C10330" i="1"/>
  <c r="C10329" i="1"/>
  <c r="C10328" i="1"/>
  <c r="C10327" i="1"/>
  <c r="C10326" i="1"/>
  <c r="C10325" i="1"/>
  <c r="C10324" i="1"/>
  <c r="C10323" i="1"/>
  <c r="C10322" i="1"/>
  <c r="C10321" i="1"/>
  <c r="C10320" i="1"/>
  <c r="C10319" i="1"/>
  <c r="C10318" i="1"/>
  <c r="C10317" i="1"/>
  <c r="C10316" i="1"/>
  <c r="C10315" i="1"/>
  <c r="C10314" i="1"/>
  <c r="C10313" i="1"/>
  <c r="C10312" i="1"/>
  <c r="C10311" i="1"/>
  <c r="C10310" i="1"/>
  <c r="C10309" i="1"/>
  <c r="C10308" i="1"/>
  <c r="C10307" i="1"/>
  <c r="C10306" i="1"/>
  <c r="C10305" i="1"/>
  <c r="C10304" i="1"/>
  <c r="C10303" i="1"/>
  <c r="C10302" i="1"/>
  <c r="C10301" i="1"/>
  <c r="C10300" i="1"/>
  <c r="C10299" i="1"/>
  <c r="C10298" i="1"/>
  <c r="C10297" i="1"/>
  <c r="C10296" i="1"/>
  <c r="C10295" i="1"/>
  <c r="C10294" i="1"/>
  <c r="C10293" i="1"/>
  <c r="C10292" i="1"/>
  <c r="C10291" i="1"/>
  <c r="C10290" i="1"/>
  <c r="C10289" i="1"/>
  <c r="C10288" i="1"/>
  <c r="C10287" i="1"/>
  <c r="C10286" i="1"/>
  <c r="C10285" i="1"/>
  <c r="C10284" i="1"/>
  <c r="C10283" i="1"/>
  <c r="C10282" i="1"/>
  <c r="C10281" i="1"/>
  <c r="C10280" i="1"/>
  <c r="C10279" i="1"/>
  <c r="C10278" i="1"/>
  <c r="C10277" i="1"/>
  <c r="C10276" i="1"/>
  <c r="C10275" i="1"/>
  <c r="C10274" i="1"/>
  <c r="C10273" i="1"/>
  <c r="C10272" i="1"/>
  <c r="C10271" i="1"/>
  <c r="C10270" i="1"/>
  <c r="C10269" i="1"/>
  <c r="C10268" i="1"/>
  <c r="C10267" i="1"/>
  <c r="C10266" i="1"/>
  <c r="C10265" i="1"/>
  <c r="C10264" i="1"/>
  <c r="C10263" i="1"/>
  <c r="C10262" i="1"/>
  <c r="C10261" i="1"/>
  <c r="C10260" i="1"/>
  <c r="C10259" i="1"/>
  <c r="C10258" i="1"/>
  <c r="C10257" i="1"/>
  <c r="C10256" i="1"/>
  <c r="C10255" i="1"/>
  <c r="C10254" i="1"/>
  <c r="C10253" i="1"/>
  <c r="C10252" i="1"/>
  <c r="C10251" i="1"/>
  <c r="C10250" i="1"/>
  <c r="C10249" i="1"/>
  <c r="C10248" i="1"/>
  <c r="C10247" i="1"/>
  <c r="C10246" i="1"/>
  <c r="C10245" i="1"/>
  <c r="C10244" i="1"/>
  <c r="C10243" i="1"/>
  <c r="C10242" i="1"/>
  <c r="C10241" i="1"/>
  <c r="C10240" i="1"/>
  <c r="C10239" i="1"/>
  <c r="C10238" i="1"/>
  <c r="C10237" i="1"/>
  <c r="C10236" i="1"/>
  <c r="C10235" i="1"/>
  <c r="C10234" i="1"/>
  <c r="C10233" i="1"/>
  <c r="C10232" i="1"/>
  <c r="C10231" i="1"/>
  <c r="C10230" i="1"/>
  <c r="C10229" i="1"/>
  <c r="C10228" i="1"/>
  <c r="C10227" i="1"/>
  <c r="C10226" i="1"/>
  <c r="C10225" i="1"/>
  <c r="C10224" i="1"/>
  <c r="C10223" i="1"/>
  <c r="C10222" i="1"/>
  <c r="C10221" i="1"/>
  <c r="C10220" i="1"/>
  <c r="C10219" i="1"/>
  <c r="C10218" i="1"/>
  <c r="C10217" i="1"/>
  <c r="C10216" i="1"/>
  <c r="C10215" i="1"/>
  <c r="C10214" i="1"/>
  <c r="C10213" i="1"/>
  <c r="C10212" i="1"/>
  <c r="C10211" i="1"/>
  <c r="C10210" i="1"/>
  <c r="C10209" i="1"/>
  <c r="C10208" i="1"/>
  <c r="C10207" i="1"/>
  <c r="C10206" i="1"/>
  <c r="C10205" i="1"/>
  <c r="C10204" i="1"/>
  <c r="C10203" i="1"/>
  <c r="C10202" i="1"/>
  <c r="C10201" i="1"/>
  <c r="C10200" i="1"/>
  <c r="C10199" i="1"/>
  <c r="C10198" i="1"/>
  <c r="C10197" i="1"/>
  <c r="C10196" i="1"/>
  <c r="C10195" i="1"/>
  <c r="C10194" i="1"/>
  <c r="C10193" i="1"/>
  <c r="C10192" i="1"/>
  <c r="C10191" i="1"/>
  <c r="C10190" i="1"/>
  <c r="C10189" i="1"/>
  <c r="C10188" i="1"/>
  <c r="C10187" i="1"/>
  <c r="C10186" i="1"/>
  <c r="C10185" i="1"/>
  <c r="C10184" i="1"/>
  <c r="C10183" i="1"/>
  <c r="C10182" i="1"/>
  <c r="C10181" i="1"/>
  <c r="C10180" i="1"/>
  <c r="C10179" i="1"/>
  <c r="C10178" i="1"/>
  <c r="C10177" i="1"/>
  <c r="C10176" i="1"/>
  <c r="C10175" i="1"/>
  <c r="C10174" i="1"/>
  <c r="C10173" i="1"/>
  <c r="C10172" i="1"/>
  <c r="C10171" i="1"/>
  <c r="C10170" i="1"/>
  <c r="C10169" i="1"/>
  <c r="C10168" i="1"/>
  <c r="C10167" i="1"/>
  <c r="C10166" i="1"/>
  <c r="C10165" i="1"/>
  <c r="C10164" i="1"/>
  <c r="C10163" i="1"/>
  <c r="C10162" i="1"/>
  <c r="C10161" i="1"/>
  <c r="C10160" i="1"/>
  <c r="C10159" i="1"/>
  <c r="C10158" i="1"/>
  <c r="C10157" i="1"/>
  <c r="C10156" i="1"/>
  <c r="C10155" i="1"/>
  <c r="C10154" i="1"/>
  <c r="C10153" i="1"/>
  <c r="C10152" i="1"/>
  <c r="C10151" i="1"/>
  <c r="C10150" i="1"/>
  <c r="C10149" i="1"/>
  <c r="C10148" i="1"/>
  <c r="C10147" i="1"/>
  <c r="C10146" i="1"/>
  <c r="C10145" i="1"/>
  <c r="C10144" i="1"/>
  <c r="C10143" i="1"/>
  <c r="C10142" i="1"/>
  <c r="C10141" i="1"/>
  <c r="C10140" i="1"/>
  <c r="C10139" i="1"/>
  <c r="C10138" i="1"/>
  <c r="C10137" i="1"/>
  <c r="C10136" i="1"/>
  <c r="C10135" i="1"/>
  <c r="C10134" i="1"/>
  <c r="C10133" i="1"/>
  <c r="C10132" i="1"/>
  <c r="C10131" i="1"/>
  <c r="C10130" i="1"/>
  <c r="C10129" i="1"/>
  <c r="C10128" i="1"/>
  <c r="C10127" i="1"/>
  <c r="C10126" i="1"/>
  <c r="C10125" i="1"/>
  <c r="C10124" i="1"/>
  <c r="C10123" i="1"/>
  <c r="C10122" i="1"/>
  <c r="C10121" i="1"/>
  <c r="C10120" i="1"/>
  <c r="C10119" i="1"/>
  <c r="C10118" i="1"/>
  <c r="C10117" i="1"/>
  <c r="C10116" i="1"/>
  <c r="C10115" i="1"/>
  <c r="C10114" i="1"/>
  <c r="C10113" i="1"/>
  <c r="C10112" i="1"/>
  <c r="C10111" i="1"/>
  <c r="C10110" i="1"/>
  <c r="C10109" i="1"/>
  <c r="C10108" i="1"/>
  <c r="C10107" i="1"/>
  <c r="C10106" i="1"/>
  <c r="C10105" i="1"/>
  <c r="C10104" i="1"/>
  <c r="C10103" i="1"/>
  <c r="C10102" i="1"/>
  <c r="C10101" i="1"/>
  <c r="C10100" i="1"/>
  <c r="C10099" i="1"/>
  <c r="C10098" i="1"/>
  <c r="C10097" i="1"/>
  <c r="C10096" i="1"/>
  <c r="C10095" i="1"/>
  <c r="C10094" i="1"/>
  <c r="C10093" i="1"/>
  <c r="C10092" i="1"/>
  <c r="C10091" i="1"/>
  <c r="C10090" i="1"/>
  <c r="C10089" i="1"/>
  <c r="C10088" i="1"/>
  <c r="C10087" i="1"/>
  <c r="C10086" i="1"/>
  <c r="C10085" i="1"/>
  <c r="C10084" i="1"/>
  <c r="C10083" i="1"/>
  <c r="C10082" i="1"/>
  <c r="C10081" i="1"/>
  <c r="C10080" i="1"/>
  <c r="C10079" i="1"/>
  <c r="C10078" i="1"/>
  <c r="C10077" i="1"/>
  <c r="C10076" i="1"/>
  <c r="C10075" i="1"/>
  <c r="C10074" i="1"/>
  <c r="C10073" i="1"/>
  <c r="C10072" i="1"/>
  <c r="C10071" i="1"/>
  <c r="C10070" i="1"/>
  <c r="C10069" i="1"/>
  <c r="C10068" i="1"/>
  <c r="C10067" i="1"/>
  <c r="C10066" i="1"/>
  <c r="C10065" i="1"/>
  <c r="C10064" i="1"/>
  <c r="C10063" i="1"/>
  <c r="C10062" i="1"/>
  <c r="C10061" i="1"/>
  <c r="C10060" i="1"/>
  <c r="C10059" i="1"/>
  <c r="C10058" i="1"/>
  <c r="C10057" i="1"/>
  <c r="C10056" i="1"/>
  <c r="C10055" i="1"/>
  <c r="C10054" i="1"/>
  <c r="C10053" i="1"/>
  <c r="C10052" i="1"/>
  <c r="C10051" i="1"/>
  <c r="C10050" i="1"/>
  <c r="C10049" i="1"/>
  <c r="C10048" i="1"/>
  <c r="C10047" i="1"/>
  <c r="C10046" i="1"/>
  <c r="C10045" i="1"/>
  <c r="C10044" i="1"/>
  <c r="C10043" i="1"/>
  <c r="C10042" i="1"/>
  <c r="C10041" i="1"/>
  <c r="C10040" i="1"/>
  <c r="C10039" i="1"/>
  <c r="C10038" i="1"/>
  <c r="C10037" i="1"/>
  <c r="C10036" i="1"/>
  <c r="C10035" i="1"/>
  <c r="C10034" i="1"/>
  <c r="C10033" i="1"/>
  <c r="C10032" i="1"/>
  <c r="C10031" i="1"/>
  <c r="C10030" i="1"/>
  <c r="C10029" i="1"/>
  <c r="C10028" i="1"/>
  <c r="C10027" i="1"/>
  <c r="C10026" i="1"/>
  <c r="C10025" i="1"/>
  <c r="C10024" i="1"/>
  <c r="C10023" i="1"/>
  <c r="C10022" i="1"/>
  <c r="C10021" i="1"/>
  <c r="C10020" i="1"/>
  <c r="C10019" i="1"/>
  <c r="C10018" i="1"/>
  <c r="C10017" i="1"/>
  <c r="C10016" i="1"/>
  <c r="C10015" i="1"/>
  <c r="C10014" i="1"/>
  <c r="C10013" i="1"/>
  <c r="C10012" i="1"/>
  <c r="C10011" i="1"/>
  <c r="C10010" i="1"/>
  <c r="C10009" i="1"/>
  <c r="C10008" i="1"/>
  <c r="C10007" i="1"/>
  <c r="C10006" i="1"/>
  <c r="C10005" i="1"/>
  <c r="C10004" i="1"/>
  <c r="C10003" i="1"/>
  <c r="C10002" i="1"/>
  <c r="C10001" i="1"/>
  <c r="C10000" i="1"/>
  <c r="C9999" i="1"/>
  <c r="C9998" i="1"/>
  <c r="C9997" i="1"/>
  <c r="C9996" i="1"/>
  <c r="C9995" i="1"/>
  <c r="C9994" i="1"/>
  <c r="C9993" i="1"/>
  <c r="C9992" i="1"/>
  <c r="C9991" i="1"/>
  <c r="C9990" i="1"/>
  <c r="C9989" i="1"/>
  <c r="C9988" i="1"/>
  <c r="C9987" i="1"/>
  <c r="C9986" i="1"/>
  <c r="C9985" i="1"/>
  <c r="C9984" i="1"/>
  <c r="C9983" i="1"/>
  <c r="C9982" i="1"/>
  <c r="C9981" i="1"/>
  <c r="C9980" i="1"/>
  <c r="C9979" i="1"/>
  <c r="C9978" i="1"/>
  <c r="C9977" i="1"/>
  <c r="C9976" i="1"/>
  <c r="C9975" i="1"/>
  <c r="C9974" i="1"/>
  <c r="C9973" i="1"/>
  <c r="C9972" i="1"/>
  <c r="C9971" i="1"/>
  <c r="C9970" i="1"/>
  <c r="C9969" i="1"/>
  <c r="C9968" i="1"/>
  <c r="C9967" i="1"/>
  <c r="C9966" i="1"/>
  <c r="C9965" i="1"/>
  <c r="C9964" i="1"/>
  <c r="C9963" i="1"/>
  <c r="C9962" i="1"/>
  <c r="C9961" i="1"/>
  <c r="C9960" i="1"/>
  <c r="C9959" i="1"/>
  <c r="C9958" i="1"/>
  <c r="C9957" i="1"/>
  <c r="C9956" i="1"/>
  <c r="C9955" i="1"/>
  <c r="C9954" i="1"/>
  <c r="C9953" i="1"/>
  <c r="C9952" i="1"/>
  <c r="C9951" i="1"/>
  <c r="C9950" i="1"/>
  <c r="C9949" i="1"/>
  <c r="C9948" i="1"/>
  <c r="C9947" i="1"/>
  <c r="C9946" i="1"/>
  <c r="C9945" i="1"/>
  <c r="C9944" i="1"/>
  <c r="C9943" i="1"/>
  <c r="C9942" i="1"/>
  <c r="C9941" i="1"/>
  <c r="C9940" i="1"/>
  <c r="C9939" i="1"/>
  <c r="C9938" i="1"/>
  <c r="C9937" i="1"/>
  <c r="C9936" i="1"/>
  <c r="C9935" i="1"/>
  <c r="C9934" i="1"/>
  <c r="C9933" i="1"/>
  <c r="C9932" i="1"/>
  <c r="C9931" i="1"/>
  <c r="C9930" i="1"/>
  <c r="C9929" i="1"/>
  <c r="C9928" i="1"/>
  <c r="C9927" i="1"/>
  <c r="C9926" i="1"/>
  <c r="C9925" i="1"/>
  <c r="C9924" i="1"/>
  <c r="C9923" i="1"/>
  <c r="C9922" i="1"/>
  <c r="C9921" i="1"/>
  <c r="C9920" i="1"/>
  <c r="C9919" i="1"/>
  <c r="C9918" i="1"/>
  <c r="C9917" i="1"/>
  <c r="C9916" i="1"/>
  <c r="C9915" i="1"/>
  <c r="C9914" i="1"/>
  <c r="C9913" i="1"/>
  <c r="C9912" i="1"/>
  <c r="C9911" i="1"/>
  <c r="C9910" i="1"/>
  <c r="C9909" i="1"/>
  <c r="C9908" i="1"/>
  <c r="C9907" i="1"/>
  <c r="C9906" i="1"/>
  <c r="C9905" i="1"/>
  <c r="C9904" i="1"/>
  <c r="C9903" i="1"/>
  <c r="C9902" i="1"/>
  <c r="C9901" i="1"/>
  <c r="C9900" i="1"/>
  <c r="C9899" i="1"/>
  <c r="C9898" i="1"/>
  <c r="C9897" i="1"/>
  <c r="C9896" i="1"/>
  <c r="C9895" i="1"/>
  <c r="C9894" i="1"/>
  <c r="C9893" i="1"/>
  <c r="C9892" i="1"/>
  <c r="C9891" i="1"/>
  <c r="C9890" i="1"/>
  <c r="C9889" i="1"/>
  <c r="C9888" i="1"/>
  <c r="C9887" i="1"/>
  <c r="C9886" i="1"/>
  <c r="C9885" i="1"/>
  <c r="C9884" i="1"/>
  <c r="C9883" i="1"/>
  <c r="C9882" i="1"/>
  <c r="C9881" i="1"/>
  <c r="C9880" i="1"/>
  <c r="C9879" i="1"/>
  <c r="C9878" i="1"/>
  <c r="C9877" i="1"/>
  <c r="C9876" i="1"/>
  <c r="C9875" i="1"/>
  <c r="C9874" i="1"/>
  <c r="C9873" i="1"/>
  <c r="C9872" i="1"/>
  <c r="C9871" i="1"/>
  <c r="C9870" i="1"/>
  <c r="C9869" i="1"/>
  <c r="C9868" i="1"/>
  <c r="C9867" i="1"/>
  <c r="C9866" i="1"/>
  <c r="C9865" i="1"/>
  <c r="C9864" i="1"/>
  <c r="C9863" i="1"/>
  <c r="C9862" i="1"/>
  <c r="C9861" i="1"/>
  <c r="C9860" i="1"/>
  <c r="C9859" i="1"/>
  <c r="C9858" i="1"/>
  <c r="C9857" i="1"/>
  <c r="C9856" i="1"/>
  <c r="C9855" i="1"/>
  <c r="C9854" i="1"/>
  <c r="C9853" i="1"/>
  <c r="C9852" i="1"/>
  <c r="C9851" i="1"/>
  <c r="C9850" i="1"/>
  <c r="C9849" i="1"/>
  <c r="C9848" i="1"/>
  <c r="C9847" i="1"/>
  <c r="C9846" i="1"/>
  <c r="C9845" i="1"/>
  <c r="C9844" i="1"/>
  <c r="C9843" i="1"/>
  <c r="C9842" i="1"/>
  <c r="C9841" i="1"/>
  <c r="C9840" i="1"/>
  <c r="C9839" i="1"/>
  <c r="C9838" i="1"/>
  <c r="C9837" i="1"/>
  <c r="C9836" i="1"/>
  <c r="C9835" i="1"/>
  <c r="C9834" i="1"/>
  <c r="C9833" i="1"/>
  <c r="C9832" i="1"/>
  <c r="C9831" i="1"/>
  <c r="C9830" i="1"/>
  <c r="C9829" i="1"/>
  <c r="C9828" i="1"/>
  <c r="C9827" i="1"/>
  <c r="C9826" i="1"/>
  <c r="C9825" i="1"/>
  <c r="C9824" i="1"/>
  <c r="C9823" i="1"/>
  <c r="C9822" i="1"/>
  <c r="C9821" i="1"/>
  <c r="C9820" i="1"/>
  <c r="C9819" i="1"/>
  <c r="C9818" i="1"/>
  <c r="C9817" i="1"/>
  <c r="C9816" i="1"/>
  <c r="C9815" i="1"/>
  <c r="C9814" i="1"/>
  <c r="C9813" i="1"/>
  <c r="C9812" i="1"/>
  <c r="C9811" i="1"/>
  <c r="C9810" i="1"/>
  <c r="C9809" i="1"/>
  <c r="C9808" i="1"/>
  <c r="C9807" i="1"/>
  <c r="C9806" i="1"/>
  <c r="C9805" i="1"/>
  <c r="C9804" i="1"/>
  <c r="C9803" i="1"/>
  <c r="C9802" i="1"/>
  <c r="C9801" i="1"/>
  <c r="C9800" i="1"/>
  <c r="C9799" i="1"/>
  <c r="C9798" i="1"/>
  <c r="C9797" i="1"/>
  <c r="C9796" i="1"/>
  <c r="C9795" i="1"/>
  <c r="C9794" i="1"/>
  <c r="C9793" i="1"/>
  <c r="C9792" i="1"/>
  <c r="C9791" i="1"/>
  <c r="C9790" i="1"/>
  <c r="C9789" i="1"/>
  <c r="C9788" i="1"/>
  <c r="C9787" i="1"/>
  <c r="C9786" i="1"/>
  <c r="C9785" i="1"/>
  <c r="C9784" i="1"/>
  <c r="C9783" i="1"/>
  <c r="C9782" i="1"/>
  <c r="C9781" i="1"/>
  <c r="C9780" i="1"/>
  <c r="C9779" i="1"/>
  <c r="C9778" i="1"/>
  <c r="C9777" i="1"/>
  <c r="C9776" i="1"/>
  <c r="C9775" i="1"/>
  <c r="C9774" i="1"/>
  <c r="C9773" i="1"/>
  <c r="C9772" i="1"/>
  <c r="C9771" i="1"/>
  <c r="C9770" i="1"/>
  <c r="C9769" i="1"/>
  <c r="C9768" i="1"/>
  <c r="C9767" i="1"/>
  <c r="C9766" i="1"/>
  <c r="C9765" i="1"/>
  <c r="C9764" i="1"/>
  <c r="C9763" i="1"/>
  <c r="C9762" i="1"/>
  <c r="C9761" i="1"/>
  <c r="C9760" i="1"/>
  <c r="C9759" i="1"/>
  <c r="C9758" i="1"/>
  <c r="C9757" i="1"/>
  <c r="C9756" i="1"/>
  <c r="C9755" i="1"/>
  <c r="C9754" i="1"/>
  <c r="C9753" i="1"/>
  <c r="C9752" i="1"/>
  <c r="C9751" i="1"/>
  <c r="C9750" i="1"/>
  <c r="C9749" i="1"/>
  <c r="C9748" i="1"/>
  <c r="C9747" i="1"/>
  <c r="C9746" i="1"/>
  <c r="C9745" i="1"/>
  <c r="C9744" i="1"/>
  <c r="C9743" i="1"/>
  <c r="C9742" i="1"/>
  <c r="C9741" i="1"/>
  <c r="C9740" i="1"/>
  <c r="C9739" i="1"/>
  <c r="C9738" i="1"/>
  <c r="C9737" i="1"/>
  <c r="C9736" i="1"/>
  <c r="C9735" i="1"/>
  <c r="C9734" i="1"/>
  <c r="C9733" i="1"/>
  <c r="C9732" i="1"/>
  <c r="C9731" i="1"/>
  <c r="C9730" i="1"/>
  <c r="C9729" i="1"/>
  <c r="C9728" i="1"/>
  <c r="C9727" i="1"/>
  <c r="C9726" i="1"/>
  <c r="C9725" i="1"/>
  <c r="C9724" i="1"/>
  <c r="C9723" i="1"/>
  <c r="C9722" i="1"/>
  <c r="C9721" i="1"/>
  <c r="C9720" i="1"/>
  <c r="C9719" i="1"/>
  <c r="C9718" i="1"/>
  <c r="C9717" i="1"/>
  <c r="C9716" i="1"/>
  <c r="C9715" i="1"/>
  <c r="C9714" i="1"/>
  <c r="C9713" i="1"/>
  <c r="C9712" i="1"/>
  <c r="C9711" i="1"/>
  <c r="C9710" i="1"/>
  <c r="C9709" i="1"/>
  <c r="C9708" i="1"/>
  <c r="C9707" i="1"/>
  <c r="C9706" i="1"/>
  <c r="C9705" i="1"/>
  <c r="C9704" i="1"/>
  <c r="C9703" i="1"/>
  <c r="C9702" i="1"/>
  <c r="C9701" i="1"/>
  <c r="C9700" i="1"/>
  <c r="C9699" i="1"/>
  <c r="C9698" i="1"/>
  <c r="C9697" i="1"/>
  <c r="C9696" i="1"/>
  <c r="C9695" i="1"/>
  <c r="C9694" i="1"/>
  <c r="C9693" i="1"/>
  <c r="C9692" i="1"/>
  <c r="C9691" i="1"/>
  <c r="C9690" i="1"/>
  <c r="C9689" i="1"/>
  <c r="C9688" i="1"/>
  <c r="C9687" i="1"/>
  <c r="C9686" i="1"/>
  <c r="C9685" i="1"/>
  <c r="C9684" i="1"/>
  <c r="C9683" i="1"/>
  <c r="C9682" i="1"/>
  <c r="C9681" i="1"/>
  <c r="C9680" i="1"/>
  <c r="C9679" i="1"/>
  <c r="C9678" i="1"/>
  <c r="C9677" i="1"/>
  <c r="C9676" i="1"/>
  <c r="C9675" i="1"/>
  <c r="C9674" i="1"/>
  <c r="C9673" i="1"/>
  <c r="C9672" i="1"/>
  <c r="C9671" i="1"/>
  <c r="C9670" i="1"/>
  <c r="C9669" i="1"/>
  <c r="C9668" i="1"/>
  <c r="C9667" i="1"/>
  <c r="C9666" i="1"/>
  <c r="C9665" i="1"/>
  <c r="C9664" i="1"/>
  <c r="C9663" i="1"/>
  <c r="C9662" i="1"/>
  <c r="C9661" i="1"/>
  <c r="C9660" i="1"/>
  <c r="C9659" i="1"/>
  <c r="C9658" i="1"/>
  <c r="C9657" i="1"/>
  <c r="C9656" i="1"/>
  <c r="C9655" i="1"/>
  <c r="C9654" i="1"/>
  <c r="C9653" i="1"/>
  <c r="C9652" i="1"/>
  <c r="C9651" i="1"/>
  <c r="C9650" i="1"/>
  <c r="C9649" i="1"/>
  <c r="C9648" i="1"/>
  <c r="C9647" i="1"/>
  <c r="C9646" i="1"/>
  <c r="C9645" i="1"/>
  <c r="C9644" i="1"/>
  <c r="C9643" i="1"/>
  <c r="C9642" i="1"/>
  <c r="C9641" i="1"/>
  <c r="C9640" i="1"/>
  <c r="C9639" i="1"/>
  <c r="C9638" i="1"/>
  <c r="C9637" i="1"/>
  <c r="C9636" i="1"/>
  <c r="C9635" i="1"/>
  <c r="C9634" i="1"/>
  <c r="C9633" i="1"/>
  <c r="C9632" i="1"/>
  <c r="C9631" i="1"/>
  <c r="C9630" i="1"/>
  <c r="C9629" i="1"/>
  <c r="C9628" i="1"/>
  <c r="C9627" i="1"/>
  <c r="C9626" i="1"/>
  <c r="C9625" i="1"/>
  <c r="C9624" i="1"/>
  <c r="C9623" i="1"/>
  <c r="C9622" i="1"/>
  <c r="C9621" i="1"/>
  <c r="C9620" i="1"/>
  <c r="C9619" i="1"/>
  <c r="C9618" i="1"/>
  <c r="C9617" i="1"/>
  <c r="C9616" i="1"/>
  <c r="C9615" i="1"/>
  <c r="C9614" i="1"/>
  <c r="C9613" i="1"/>
  <c r="C9612" i="1"/>
  <c r="C9611" i="1"/>
  <c r="C9610" i="1"/>
  <c r="C9609" i="1"/>
  <c r="C9608" i="1"/>
  <c r="C9607" i="1"/>
  <c r="C9606" i="1"/>
  <c r="C9605" i="1"/>
  <c r="C9604" i="1"/>
  <c r="C9603" i="1"/>
  <c r="C9602" i="1"/>
  <c r="C9601" i="1"/>
  <c r="C9600" i="1"/>
  <c r="C9599" i="1"/>
  <c r="C9598" i="1"/>
  <c r="C9597" i="1"/>
  <c r="C9596" i="1"/>
  <c r="C9595" i="1"/>
  <c r="C9594" i="1"/>
  <c r="C9593" i="1"/>
  <c r="C9592" i="1"/>
  <c r="C9591" i="1"/>
  <c r="C9590" i="1"/>
  <c r="C9589" i="1"/>
  <c r="C9588" i="1"/>
  <c r="C9587" i="1"/>
  <c r="C9586" i="1"/>
  <c r="C9585" i="1"/>
  <c r="C9584" i="1"/>
  <c r="C9583" i="1"/>
  <c r="C9582" i="1"/>
  <c r="C9581" i="1"/>
  <c r="C9580" i="1"/>
  <c r="C9579" i="1"/>
  <c r="C9578" i="1"/>
  <c r="C9577" i="1"/>
  <c r="C9576" i="1"/>
  <c r="C9575" i="1"/>
  <c r="C9574" i="1"/>
  <c r="C9573" i="1"/>
  <c r="C9572" i="1"/>
  <c r="C9571" i="1"/>
  <c r="C9570" i="1"/>
  <c r="C9569" i="1"/>
  <c r="C9568" i="1"/>
  <c r="C9567" i="1"/>
  <c r="C9566" i="1"/>
  <c r="C9565" i="1"/>
  <c r="C9564" i="1"/>
  <c r="C9563" i="1"/>
  <c r="C9562" i="1"/>
  <c r="C9561" i="1"/>
  <c r="C9560" i="1"/>
  <c r="C9559" i="1"/>
  <c r="C9558" i="1"/>
  <c r="C9557" i="1"/>
  <c r="C9556" i="1"/>
  <c r="C9555" i="1"/>
  <c r="C9554" i="1"/>
  <c r="C9553" i="1"/>
  <c r="C9552" i="1"/>
  <c r="C9551" i="1"/>
  <c r="C9550" i="1"/>
  <c r="C9549" i="1"/>
  <c r="C9548" i="1"/>
  <c r="C9547" i="1"/>
  <c r="C9546" i="1"/>
  <c r="C9545" i="1"/>
  <c r="C9544" i="1"/>
  <c r="C9543" i="1"/>
  <c r="C9542" i="1"/>
  <c r="C9541" i="1"/>
  <c r="C9540" i="1"/>
  <c r="C9539" i="1"/>
  <c r="C9538" i="1"/>
  <c r="C9537" i="1"/>
  <c r="C9536" i="1"/>
  <c r="C9535" i="1"/>
  <c r="C9534" i="1"/>
  <c r="C9533" i="1"/>
  <c r="C9532" i="1"/>
  <c r="C9531" i="1"/>
  <c r="C9530" i="1"/>
  <c r="C9529" i="1"/>
  <c r="C9528" i="1"/>
  <c r="C9527" i="1"/>
  <c r="C9526" i="1"/>
  <c r="C9525" i="1"/>
  <c r="C9524" i="1"/>
  <c r="C9523" i="1"/>
  <c r="C9522" i="1"/>
  <c r="C9521" i="1"/>
  <c r="C9520" i="1"/>
  <c r="C9519" i="1"/>
  <c r="C9518" i="1"/>
  <c r="C9517" i="1"/>
  <c r="C9516" i="1"/>
  <c r="C9515" i="1"/>
  <c r="C9514" i="1"/>
  <c r="C9513" i="1"/>
  <c r="C9512" i="1"/>
  <c r="C9511" i="1"/>
  <c r="C9510" i="1"/>
  <c r="C9509" i="1"/>
  <c r="C9508" i="1"/>
  <c r="C9507" i="1"/>
  <c r="C9506" i="1"/>
  <c r="C9505" i="1"/>
  <c r="C9504" i="1"/>
  <c r="C9503" i="1"/>
  <c r="C9502" i="1"/>
  <c r="C9501" i="1"/>
  <c r="C9500" i="1"/>
  <c r="C9499" i="1"/>
  <c r="C9498" i="1"/>
  <c r="C9497" i="1"/>
  <c r="C9496" i="1"/>
  <c r="C9495" i="1"/>
  <c r="C9494" i="1"/>
  <c r="C9493" i="1"/>
  <c r="C9492" i="1"/>
  <c r="C9491" i="1"/>
  <c r="C9490" i="1"/>
  <c r="C9489" i="1"/>
  <c r="C9488" i="1"/>
  <c r="C9487" i="1"/>
  <c r="C9486" i="1"/>
  <c r="C9485" i="1"/>
  <c r="C9484" i="1"/>
  <c r="C9483" i="1"/>
  <c r="C9482" i="1"/>
  <c r="C9481" i="1"/>
  <c r="C9480" i="1"/>
  <c r="C9479" i="1"/>
  <c r="C9478" i="1"/>
  <c r="C9477" i="1"/>
  <c r="C9476" i="1"/>
  <c r="C9475" i="1"/>
  <c r="C9474" i="1"/>
  <c r="C9473" i="1"/>
  <c r="C9472" i="1"/>
  <c r="C9471" i="1"/>
  <c r="C9470" i="1"/>
  <c r="C9469" i="1"/>
  <c r="C9468" i="1"/>
  <c r="C9467" i="1"/>
  <c r="C9466" i="1"/>
  <c r="C9465" i="1"/>
  <c r="C9464" i="1"/>
  <c r="C9463" i="1"/>
  <c r="C9462" i="1"/>
  <c r="C9461" i="1"/>
  <c r="C9460" i="1"/>
  <c r="C9459" i="1"/>
  <c r="C9458" i="1"/>
  <c r="C9457" i="1"/>
  <c r="C9456" i="1"/>
  <c r="C9455" i="1"/>
  <c r="C9454" i="1"/>
  <c r="C9453" i="1"/>
  <c r="C9452" i="1"/>
  <c r="C9451" i="1"/>
  <c r="C9450" i="1"/>
  <c r="C9449" i="1"/>
  <c r="C9448" i="1"/>
  <c r="C9447" i="1"/>
  <c r="C9446" i="1"/>
  <c r="C9445" i="1"/>
  <c r="C9444" i="1"/>
  <c r="C9443" i="1"/>
  <c r="C9442" i="1"/>
  <c r="C9441" i="1"/>
  <c r="C9440" i="1"/>
  <c r="C9439" i="1"/>
  <c r="C9438" i="1"/>
  <c r="C9437" i="1"/>
  <c r="C9436" i="1"/>
  <c r="C9435" i="1"/>
  <c r="C9434" i="1"/>
  <c r="C9433" i="1"/>
  <c r="C9432" i="1"/>
  <c r="C9431" i="1"/>
  <c r="C9430" i="1"/>
  <c r="C9429" i="1"/>
  <c r="C9428" i="1"/>
  <c r="C9427" i="1"/>
  <c r="C9426" i="1"/>
  <c r="C9425" i="1"/>
  <c r="C9424" i="1"/>
  <c r="C9423" i="1"/>
  <c r="C9422" i="1"/>
  <c r="C9421" i="1"/>
  <c r="C9420" i="1"/>
  <c r="C9419" i="1"/>
  <c r="C9418" i="1"/>
  <c r="C9417" i="1"/>
  <c r="C9416" i="1"/>
  <c r="C9415" i="1"/>
  <c r="C9414" i="1"/>
  <c r="C9413" i="1"/>
  <c r="C9412" i="1"/>
  <c r="C9411" i="1"/>
  <c r="C9410" i="1"/>
  <c r="C9409" i="1"/>
  <c r="C9408" i="1"/>
  <c r="C9407" i="1"/>
  <c r="C9406" i="1"/>
  <c r="C9405" i="1"/>
  <c r="C9404" i="1"/>
  <c r="C9403" i="1"/>
  <c r="C9402" i="1"/>
  <c r="C9401" i="1"/>
  <c r="C9400" i="1"/>
  <c r="C9399" i="1"/>
  <c r="C9398" i="1"/>
  <c r="C9397" i="1"/>
  <c r="C9396" i="1"/>
  <c r="C9395" i="1"/>
  <c r="C9394" i="1"/>
  <c r="C9393" i="1"/>
  <c r="C9392" i="1"/>
  <c r="C9391" i="1"/>
  <c r="C9390" i="1"/>
  <c r="C9389" i="1"/>
  <c r="C9388" i="1"/>
  <c r="C9387" i="1"/>
  <c r="C9386" i="1"/>
  <c r="C9385" i="1"/>
  <c r="C9384" i="1"/>
  <c r="C9383" i="1"/>
  <c r="C9382" i="1"/>
  <c r="C9381" i="1"/>
  <c r="C9380" i="1"/>
  <c r="C9379" i="1"/>
  <c r="C9378" i="1"/>
  <c r="C9377" i="1"/>
  <c r="C9376" i="1"/>
  <c r="C9375" i="1"/>
  <c r="C9374" i="1"/>
  <c r="C9373" i="1"/>
  <c r="C9372" i="1"/>
  <c r="C9371" i="1"/>
  <c r="C9370" i="1"/>
  <c r="C9369" i="1"/>
  <c r="C9368" i="1"/>
  <c r="C9367" i="1"/>
  <c r="C9366" i="1"/>
  <c r="C9365" i="1"/>
  <c r="C9364" i="1"/>
  <c r="C9363" i="1"/>
  <c r="C9362" i="1"/>
  <c r="C9361" i="1"/>
  <c r="C9360" i="1"/>
  <c r="C9359" i="1"/>
  <c r="C9358" i="1"/>
  <c r="C9357" i="1"/>
  <c r="C9356" i="1"/>
  <c r="C9355" i="1"/>
  <c r="C9354" i="1"/>
  <c r="C9353" i="1"/>
  <c r="C9352" i="1"/>
  <c r="C9351" i="1"/>
  <c r="C9350" i="1"/>
  <c r="C9349" i="1"/>
  <c r="C9348" i="1"/>
  <c r="C9347" i="1"/>
  <c r="C9346" i="1"/>
  <c r="C9345" i="1"/>
  <c r="C9344" i="1"/>
  <c r="C9343" i="1"/>
  <c r="C9342" i="1"/>
  <c r="C9341" i="1"/>
  <c r="C9340" i="1"/>
  <c r="C9339" i="1"/>
  <c r="C9338" i="1"/>
  <c r="C9337" i="1"/>
  <c r="C9336" i="1"/>
  <c r="C9335" i="1"/>
  <c r="C9334" i="1"/>
  <c r="C9333" i="1"/>
  <c r="C9332" i="1"/>
  <c r="C9331" i="1"/>
  <c r="C9330" i="1"/>
  <c r="C9329" i="1"/>
  <c r="C9328" i="1"/>
  <c r="C9327" i="1"/>
  <c r="C9326" i="1"/>
  <c r="C9325" i="1"/>
  <c r="C9324" i="1"/>
  <c r="C9323" i="1"/>
  <c r="C9322" i="1"/>
  <c r="C9321" i="1"/>
  <c r="C9320" i="1"/>
  <c r="C9319" i="1"/>
  <c r="C9318" i="1"/>
  <c r="C9317" i="1"/>
  <c r="C9316" i="1"/>
  <c r="C9315" i="1"/>
  <c r="C9314" i="1"/>
  <c r="C9313" i="1"/>
  <c r="C9312" i="1"/>
  <c r="C9311" i="1"/>
  <c r="C9310" i="1"/>
  <c r="C9309" i="1"/>
  <c r="C9308" i="1"/>
  <c r="C9307" i="1"/>
  <c r="C9306" i="1"/>
  <c r="C9305" i="1"/>
  <c r="C9304" i="1"/>
  <c r="C9303" i="1"/>
  <c r="C9302" i="1"/>
  <c r="C9301" i="1"/>
  <c r="C9300" i="1"/>
  <c r="C9299" i="1"/>
  <c r="C9298" i="1"/>
  <c r="C9297" i="1"/>
  <c r="C9296" i="1"/>
  <c r="C9295" i="1"/>
  <c r="C9294" i="1"/>
  <c r="C9293" i="1"/>
  <c r="C9292" i="1"/>
  <c r="C9291" i="1"/>
  <c r="C9290" i="1"/>
  <c r="C9289" i="1"/>
  <c r="C9288" i="1"/>
  <c r="C9287" i="1"/>
  <c r="C9286" i="1"/>
  <c r="C9285" i="1"/>
  <c r="C9284" i="1"/>
  <c r="C9283" i="1"/>
  <c r="C9282" i="1"/>
  <c r="C9281" i="1"/>
  <c r="C9280" i="1"/>
  <c r="C9279" i="1"/>
  <c r="C9278" i="1"/>
  <c r="C9277" i="1"/>
  <c r="C9276" i="1"/>
  <c r="C9275" i="1"/>
  <c r="C9274" i="1"/>
  <c r="C9273" i="1"/>
  <c r="C9272" i="1"/>
  <c r="C9271" i="1"/>
  <c r="C9270" i="1"/>
  <c r="C9269" i="1"/>
  <c r="C9268" i="1"/>
  <c r="C9267" i="1"/>
  <c r="C9266" i="1"/>
  <c r="C9265" i="1"/>
  <c r="C9264" i="1"/>
  <c r="C9263" i="1"/>
  <c r="C9262" i="1"/>
  <c r="C9261" i="1"/>
  <c r="C9260" i="1"/>
  <c r="C9259" i="1"/>
  <c r="C9258" i="1"/>
  <c r="C9257" i="1"/>
  <c r="C9256" i="1"/>
  <c r="C9255" i="1"/>
  <c r="C9254" i="1"/>
  <c r="C9253" i="1"/>
  <c r="C9252" i="1"/>
  <c r="C9251" i="1"/>
  <c r="C9250" i="1"/>
  <c r="C9249" i="1"/>
  <c r="C9248" i="1"/>
  <c r="C9247" i="1"/>
  <c r="C9246" i="1"/>
  <c r="C9245" i="1"/>
  <c r="C9244" i="1"/>
  <c r="C9243" i="1"/>
  <c r="C9242" i="1"/>
  <c r="C9241" i="1"/>
  <c r="C9240" i="1"/>
  <c r="C9239" i="1"/>
  <c r="C9238" i="1"/>
  <c r="C9237" i="1"/>
  <c r="C9236" i="1"/>
  <c r="C9235" i="1"/>
  <c r="C9234" i="1"/>
  <c r="C9233" i="1"/>
  <c r="C9232" i="1"/>
  <c r="C9231" i="1"/>
  <c r="C9230" i="1"/>
  <c r="C9229" i="1"/>
  <c r="C9228" i="1"/>
  <c r="C9227" i="1"/>
  <c r="C9226" i="1"/>
  <c r="C9225" i="1"/>
  <c r="C9224" i="1"/>
  <c r="C9223" i="1"/>
  <c r="C9222" i="1"/>
  <c r="C9221" i="1"/>
  <c r="C9220" i="1"/>
  <c r="C9219" i="1"/>
  <c r="C9218" i="1"/>
  <c r="C9217" i="1"/>
  <c r="C9216" i="1"/>
  <c r="C9215" i="1"/>
  <c r="C9214" i="1"/>
  <c r="C9213" i="1"/>
  <c r="C9212" i="1"/>
  <c r="C9211" i="1"/>
  <c r="C9210" i="1"/>
  <c r="C9209" i="1"/>
  <c r="C9208" i="1"/>
  <c r="C9207" i="1"/>
  <c r="C9206" i="1"/>
  <c r="C9205" i="1"/>
  <c r="C9204" i="1"/>
  <c r="C9203" i="1"/>
  <c r="C9202" i="1"/>
  <c r="C9201" i="1"/>
  <c r="C9200" i="1"/>
  <c r="C9199" i="1"/>
  <c r="C9198" i="1"/>
  <c r="C9197" i="1"/>
  <c r="C9196" i="1"/>
  <c r="C9195" i="1"/>
  <c r="C9194" i="1"/>
  <c r="C9193" i="1"/>
  <c r="C9192" i="1"/>
  <c r="C9191" i="1"/>
  <c r="C9190" i="1"/>
  <c r="C9189" i="1"/>
  <c r="C9188" i="1"/>
  <c r="C9187" i="1"/>
  <c r="C9186" i="1"/>
  <c r="C9185" i="1"/>
  <c r="C9184" i="1"/>
  <c r="C9183" i="1"/>
  <c r="C9182" i="1"/>
  <c r="C9181" i="1"/>
  <c r="C9180" i="1"/>
  <c r="C9179" i="1"/>
  <c r="C9178" i="1"/>
  <c r="C9177" i="1"/>
  <c r="C9176" i="1"/>
  <c r="C9175" i="1"/>
  <c r="C9174" i="1"/>
  <c r="C9173" i="1"/>
  <c r="C9172" i="1"/>
  <c r="C9171" i="1"/>
  <c r="C9170" i="1"/>
  <c r="C9169" i="1"/>
  <c r="C9168" i="1"/>
  <c r="C9167" i="1"/>
  <c r="C9166" i="1"/>
  <c r="C9165" i="1"/>
  <c r="C9164" i="1"/>
  <c r="C9163" i="1"/>
  <c r="C9162" i="1"/>
  <c r="C9161" i="1"/>
  <c r="C9160" i="1"/>
  <c r="C9159" i="1"/>
  <c r="C9158" i="1"/>
  <c r="C9157" i="1"/>
  <c r="C9156" i="1"/>
  <c r="C9155" i="1"/>
  <c r="C9154" i="1"/>
  <c r="C9153" i="1"/>
  <c r="C9152" i="1"/>
  <c r="C9151" i="1"/>
  <c r="C9150" i="1"/>
  <c r="C9149" i="1"/>
  <c r="C9148" i="1"/>
  <c r="C9147" i="1"/>
  <c r="C9146" i="1"/>
  <c r="C9145" i="1"/>
  <c r="C9144" i="1"/>
  <c r="C9143" i="1"/>
  <c r="C9142" i="1"/>
  <c r="C9141" i="1"/>
  <c r="C9140" i="1"/>
  <c r="C9139" i="1"/>
  <c r="C9138" i="1"/>
  <c r="C9137" i="1"/>
  <c r="C9136" i="1"/>
  <c r="C9135" i="1"/>
  <c r="C9134" i="1"/>
  <c r="C9133" i="1"/>
  <c r="C9132" i="1"/>
  <c r="C9131" i="1"/>
  <c r="C9130" i="1"/>
  <c r="C9129" i="1"/>
  <c r="C9128" i="1"/>
  <c r="C9127" i="1"/>
  <c r="C9126" i="1"/>
  <c r="C9125" i="1"/>
  <c r="C9124" i="1"/>
  <c r="C9123" i="1"/>
  <c r="C9122" i="1"/>
  <c r="C9121" i="1"/>
  <c r="C9120" i="1"/>
  <c r="C9119" i="1"/>
  <c r="C9118" i="1"/>
  <c r="C9117" i="1"/>
  <c r="C9116" i="1"/>
  <c r="C9115" i="1"/>
  <c r="C9114" i="1"/>
  <c r="C9113" i="1"/>
  <c r="C9112" i="1"/>
  <c r="C9111" i="1"/>
  <c r="C9110" i="1"/>
  <c r="C9109" i="1"/>
  <c r="C9108" i="1"/>
  <c r="C9107" i="1"/>
  <c r="C9106" i="1"/>
  <c r="C9105" i="1"/>
  <c r="C9104" i="1"/>
  <c r="C9103" i="1"/>
  <c r="C9102" i="1"/>
  <c r="C9101" i="1"/>
  <c r="C9100" i="1"/>
  <c r="C9099" i="1"/>
  <c r="C9098" i="1"/>
  <c r="C9097" i="1"/>
  <c r="C9096" i="1"/>
  <c r="C9095" i="1"/>
  <c r="C9094" i="1"/>
  <c r="C9093" i="1"/>
  <c r="C9092" i="1"/>
  <c r="C9091" i="1"/>
  <c r="C9090" i="1"/>
  <c r="C9089" i="1"/>
  <c r="C9088" i="1"/>
  <c r="C9087" i="1"/>
  <c r="C9086" i="1"/>
  <c r="C9085" i="1"/>
  <c r="C9084" i="1"/>
  <c r="C9083" i="1"/>
  <c r="C9082" i="1"/>
  <c r="C9081" i="1"/>
  <c r="C9080" i="1"/>
  <c r="C9079" i="1"/>
  <c r="C9078" i="1"/>
  <c r="C9077" i="1"/>
  <c r="C9076" i="1"/>
  <c r="C9075" i="1"/>
  <c r="C9074" i="1"/>
  <c r="C9073" i="1"/>
  <c r="C9072" i="1"/>
  <c r="C9071" i="1"/>
  <c r="C9070" i="1"/>
  <c r="C9069" i="1"/>
  <c r="C9068" i="1"/>
  <c r="C9067" i="1"/>
  <c r="C9066" i="1"/>
  <c r="C9065" i="1"/>
  <c r="C9064" i="1"/>
  <c r="C9063" i="1"/>
  <c r="C9062" i="1"/>
  <c r="C9061" i="1"/>
  <c r="C9060" i="1"/>
  <c r="C9059" i="1"/>
  <c r="C9058" i="1"/>
  <c r="C9057" i="1"/>
  <c r="C9056" i="1"/>
  <c r="C9055" i="1"/>
  <c r="C9054" i="1"/>
  <c r="C9053" i="1"/>
  <c r="C9052" i="1"/>
  <c r="C9051" i="1"/>
  <c r="C9050" i="1"/>
  <c r="C9049" i="1"/>
  <c r="C9048" i="1"/>
  <c r="C9047" i="1"/>
  <c r="C9046" i="1"/>
  <c r="C9045" i="1"/>
  <c r="C9044" i="1"/>
  <c r="C9043" i="1"/>
  <c r="C9042" i="1"/>
  <c r="C9041" i="1"/>
  <c r="C9040" i="1"/>
  <c r="C9039" i="1"/>
  <c r="C9038" i="1"/>
  <c r="C9037" i="1"/>
  <c r="C9036" i="1"/>
  <c r="C9035" i="1"/>
  <c r="C9034" i="1"/>
  <c r="C9033" i="1"/>
  <c r="C9032" i="1"/>
  <c r="C9031" i="1"/>
  <c r="C9030" i="1"/>
  <c r="C9029" i="1"/>
  <c r="C9028" i="1"/>
  <c r="C9027" i="1"/>
  <c r="C9026" i="1"/>
  <c r="C9025" i="1"/>
  <c r="C9024" i="1"/>
  <c r="C9023" i="1"/>
  <c r="C9022" i="1"/>
  <c r="C9021" i="1"/>
  <c r="C9020" i="1"/>
  <c r="C9019" i="1"/>
  <c r="C9018" i="1"/>
  <c r="C9017" i="1"/>
  <c r="C9016" i="1"/>
  <c r="C9015" i="1"/>
  <c r="C9014" i="1"/>
  <c r="C9013" i="1"/>
  <c r="C9012" i="1"/>
  <c r="C9011" i="1"/>
  <c r="C9010" i="1"/>
  <c r="C9009" i="1"/>
  <c r="C9008" i="1"/>
  <c r="C9007" i="1"/>
  <c r="C9006" i="1"/>
  <c r="C9005" i="1"/>
  <c r="C9004" i="1"/>
  <c r="C9003" i="1"/>
  <c r="C9002" i="1"/>
  <c r="C9001" i="1"/>
  <c r="C9000" i="1"/>
  <c r="C8999" i="1"/>
  <c r="C8998" i="1"/>
  <c r="C8997" i="1"/>
  <c r="C8996" i="1"/>
  <c r="C8995" i="1"/>
  <c r="C8994" i="1"/>
  <c r="C8993" i="1"/>
  <c r="C8992" i="1"/>
  <c r="C8991" i="1"/>
  <c r="C8990" i="1"/>
  <c r="C8989" i="1"/>
  <c r="C8988" i="1"/>
  <c r="C8987" i="1"/>
  <c r="C8986" i="1"/>
  <c r="C8985" i="1"/>
  <c r="C8984" i="1"/>
  <c r="C8983" i="1"/>
  <c r="C8982" i="1"/>
  <c r="C8981" i="1"/>
  <c r="C8980" i="1"/>
  <c r="C8979" i="1"/>
  <c r="C8978" i="1"/>
  <c r="C8977" i="1"/>
  <c r="C8976" i="1"/>
  <c r="C8975" i="1"/>
  <c r="C8974" i="1"/>
  <c r="C8973" i="1"/>
  <c r="C8972" i="1"/>
  <c r="C8971" i="1"/>
  <c r="C8970" i="1"/>
  <c r="C8969" i="1"/>
  <c r="C8968" i="1"/>
  <c r="C8967" i="1"/>
  <c r="C8966" i="1"/>
  <c r="C8965" i="1"/>
  <c r="C8964" i="1"/>
  <c r="C8963" i="1"/>
  <c r="C8962" i="1"/>
  <c r="C8961" i="1"/>
  <c r="C8960" i="1"/>
  <c r="C8959" i="1"/>
  <c r="C8958" i="1"/>
  <c r="C8957" i="1"/>
  <c r="C8956" i="1"/>
  <c r="C8955" i="1"/>
  <c r="C8954" i="1"/>
  <c r="C8953" i="1"/>
  <c r="C8952" i="1"/>
  <c r="C8951" i="1"/>
  <c r="C8950" i="1"/>
  <c r="C8949" i="1"/>
  <c r="C8948" i="1"/>
  <c r="C8947" i="1"/>
  <c r="C8946" i="1"/>
  <c r="C8945" i="1"/>
  <c r="C8944" i="1"/>
  <c r="C8943" i="1"/>
  <c r="C8942" i="1"/>
  <c r="C8941" i="1"/>
  <c r="C8940" i="1"/>
  <c r="C8939" i="1"/>
  <c r="C8938" i="1"/>
  <c r="C8937" i="1"/>
  <c r="C8936" i="1"/>
  <c r="C8935" i="1"/>
  <c r="C8934" i="1"/>
  <c r="C8933" i="1"/>
  <c r="C8932" i="1"/>
  <c r="C8931" i="1"/>
  <c r="C8930" i="1"/>
  <c r="C8929" i="1"/>
  <c r="C8928" i="1"/>
  <c r="C8927" i="1"/>
  <c r="C8926" i="1"/>
  <c r="C8925" i="1"/>
  <c r="C8924" i="1"/>
  <c r="C8923" i="1"/>
  <c r="C8922" i="1"/>
  <c r="C8921" i="1"/>
  <c r="C8920" i="1"/>
  <c r="C8919" i="1"/>
  <c r="C8918" i="1"/>
  <c r="C8917" i="1"/>
  <c r="C8916" i="1"/>
  <c r="C8915" i="1"/>
  <c r="C8914" i="1"/>
  <c r="C8913" i="1"/>
  <c r="C8912" i="1"/>
  <c r="C8911" i="1"/>
  <c r="C8910" i="1"/>
  <c r="C8909" i="1"/>
  <c r="C8908" i="1"/>
  <c r="C8907" i="1"/>
  <c r="C8906" i="1"/>
  <c r="C8905" i="1"/>
  <c r="C8904" i="1"/>
  <c r="C8903" i="1"/>
  <c r="C8902" i="1"/>
  <c r="C8901" i="1"/>
  <c r="C8900" i="1"/>
  <c r="C8899" i="1"/>
  <c r="C8898" i="1"/>
  <c r="C8897" i="1"/>
  <c r="C8896" i="1"/>
  <c r="C8895" i="1"/>
  <c r="C8894" i="1"/>
  <c r="C8893" i="1"/>
  <c r="C8892" i="1"/>
  <c r="C8891" i="1"/>
  <c r="C8890" i="1"/>
  <c r="C8889" i="1"/>
  <c r="C8888" i="1"/>
  <c r="C8887" i="1"/>
  <c r="C8886" i="1"/>
  <c r="C8885" i="1"/>
  <c r="C8884" i="1"/>
  <c r="C8883" i="1"/>
  <c r="C8882" i="1"/>
  <c r="C8881" i="1"/>
  <c r="C8880" i="1"/>
  <c r="C8879" i="1"/>
  <c r="C8878" i="1"/>
  <c r="C8877" i="1"/>
  <c r="C8876" i="1"/>
  <c r="C8875" i="1"/>
  <c r="C8874" i="1"/>
  <c r="C8873" i="1"/>
  <c r="C8872" i="1"/>
  <c r="C8871" i="1"/>
  <c r="C8870" i="1"/>
  <c r="C8869" i="1"/>
  <c r="C8868" i="1"/>
  <c r="C8867" i="1"/>
  <c r="C8866" i="1"/>
  <c r="C8865" i="1"/>
  <c r="C8864" i="1"/>
  <c r="C8863" i="1"/>
  <c r="C8862" i="1"/>
  <c r="C8861" i="1"/>
  <c r="C8860" i="1"/>
  <c r="C8859" i="1"/>
  <c r="C8858" i="1"/>
  <c r="C8857" i="1"/>
  <c r="C8856" i="1"/>
  <c r="C8855" i="1"/>
  <c r="C8854" i="1"/>
  <c r="C8853" i="1"/>
  <c r="C8852" i="1"/>
  <c r="C8851" i="1"/>
  <c r="C8850" i="1"/>
  <c r="C8849" i="1"/>
  <c r="C8848" i="1"/>
  <c r="C8847" i="1"/>
  <c r="C8846" i="1"/>
  <c r="C8845" i="1"/>
  <c r="C8844" i="1"/>
  <c r="C8843" i="1"/>
  <c r="C8842" i="1"/>
  <c r="C8841" i="1"/>
  <c r="C8840" i="1"/>
  <c r="C8839" i="1"/>
  <c r="C8838" i="1"/>
  <c r="C8837" i="1"/>
  <c r="C8836" i="1"/>
  <c r="C8835" i="1"/>
  <c r="C8834" i="1"/>
  <c r="C8833" i="1"/>
  <c r="C8832" i="1"/>
  <c r="C8831" i="1"/>
  <c r="C8830" i="1"/>
  <c r="C8829" i="1"/>
  <c r="C8828" i="1"/>
  <c r="C8827" i="1"/>
  <c r="C8826" i="1"/>
  <c r="C8825" i="1"/>
  <c r="C8824" i="1"/>
  <c r="C8823" i="1"/>
  <c r="C8822" i="1"/>
  <c r="C8821" i="1"/>
  <c r="C8820" i="1"/>
  <c r="C8819" i="1"/>
  <c r="C8818" i="1"/>
  <c r="C8817" i="1"/>
  <c r="C8816" i="1"/>
  <c r="C8815" i="1"/>
  <c r="C8814" i="1"/>
  <c r="C8813" i="1"/>
  <c r="C8812" i="1"/>
  <c r="C8811" i="1"/>
  <c r="C8810" i="1"/>
  <c r="C8809" i="1"/>
  <c r="C8808" i="1"/>
  <c r="C8807" i="1"/>
  <c r="C8806" i="1"/>
  <c r="C8805" i="1"/>
  <c r="C8804" i="1"/>
  <c r="C8803" i="1"/>
  <c r="C8802" i="1"/>
  <c r="C8801" i="1"/>
  <c r="C8800" i="1"/>
  <c r="C8799" i="1"/>
  <c r="C8798" i="1"/>
  <c r="C8797" i="1"/>
  <c r="C8796" i="1"/>
  <c r="C8795" i="1"/>
  <c r="C8794" i="1"/>
  <c r="C8793" i="1"/>
  <c r="C8792" i="1"/>
  <c r="C8791" i="1"/>
  <c r="C8790" i="1"/>
  <c r="C8789" i="1"/>
  <c r="C8788" i="1"/>
  <c r="C8787" i="1"/>
  <c r="C8786" i="1"/>
  <c r="C8785" i="1"/>
  <c r="C8784" i="1"/>
  <c r="C8783" i="1"/>
  <c r="C8782" i="1"/>
  <c r="C8781" i="1"/>
  <c r="C8780" i="1"/>
  <c r="C8779" i="1"/>
  <c r="C8778" i="1"/>
  <c r="C8777" i="1"/>
  <c r="C8776" i="1"/>
  <c r="C8775" i="1"/>
  <c r="C8774" i="1"/>
  <c r="C8773" i="1"/>
  <c r="C8772" i="1"/>
  <c r="C8771" i="1"/>
  <c r="C8770" i="1"/>
  <c r="C8769" i="1"/>
  <c r="C8768" i="1"/>
  <c r="C8767" i="1"/>
  <c r="C8766" i="1"/>
  <c r="C8765" i="1"/>
  <c r="C8764" i="1"/>
  <c r="C8763" i="1"/>
  <c r="C8762" i="1"/>
  <c r="C8761" i="1"/>
  <c r="C8760" i="1"/>
  <c r="C8759" i="1"/>
  <c r="C8758" i="1"/>
  <c r="C8757" i="1"/>
  <c r="C8756" i="1"/>
  <c r="C8755" i="1"/>
  <c r="C8754" i="1"/>
  <c r="C8753" i="1"/>
  <c r="C8752" i="1"/>
  <c r="C8751" i="1"/>
  <c r="C8750" i="1"/>
  <c r="C8749" i="1"/>
  <c r="C8748" i="1"/>
  <c r="C8747" i="1"/>
  <c r="C8746" i="1"/>
  <c r="C8745" i="1"/>
  <c r="C8744" i="1"/>
  <c r="C8743" i="1"/>
  <c r="C8742" i="1"/>
  <c r="C8741" i="1"/>
  <c r="C8740" i="1"/>
  <c r="C8739" i="1"/>
  <c r="C8738" i="1"/>
  <c r="C8737" i="1"/>
  <c r="C8736" i="1"/>
  <c r="C8735" i="1"/>
  <c r="C8734" i="1"/>
  <c r="C8733" i="1"/>
  <c r="C8732" i="1"/>
  <c r="C8731" i="1"/>
  <c r="C8730" i="1"/>
  <c r="C8729" i="1"/>
  <c r="C8728" i="1"/>
  <c r="C8727" i="1"/>
  <c r="C8726" i="1"/>
  <c r="C8725" i="1"/>
  <c r="C8724" i="1"/>
  <c r="C8723" i="1"/>
  <c r="C8722" i="1"/>
  <c r="C8721" i="1"/>
  <c r="C8720" i="1"/>
  <c r="C8719" i="1"/>
  <c r="C8718" i="1"/>
  <c r="C8717" i="1"/>
  <c r="C8716" i="1"/>
  <c r="C8715" i="1"/>
  <c r="C8714" i="1"/>
  <c r="C8713" i="1"/>
  <c r="C8712" i="1"/>
  <c r="C8711" i="1"/>
  <c r="C8710" i="1"/>
  <c r="C8709" i="1"/>
  <c r="C8708" i="1"/>
  <c r="C8707" i="1"/>
  <c r="C8706" i="1"/>
  <c r="C8705" i="1"/>
  <c r="C8704" i="1"/>
  <c r="C8703" i="1"/>
  <c r="C8702" i="1"/>
  <c r="C8701" i="1"/>
  <c r="C8700" i="1"/>
  <c r="C8699" i="1"/>
  <c r="C8698" i="1"/>
  <c r="C8697" i="1"/>
  <c r="C8696" i="1"/>
  <c r="C8695" i="1"/>
  <c r="C8694" i="1"/>
  <c r="C8693" i="1"/>
  <c r="C8692" i="1"/>
  <c r="C8691" i="1"/>
  <c r="C8690" i="1"/>
  <c r="C8689" i="1"/>
  <c r="C8688" i="1"/>
  <c r="C8687" i="1"/>
  <c r="C8686" i="1"/>
  <c r="C8685" i="1"/>
  <c r="C8684" i="1"/>
  <c r="C8683" i="1"/>
  <c r="C8682" i="1"/>
  <c r="C8681" i="1"/>
  <c r="C8680" i="1"/>
  <c r="C8679" i="1"/>
  <c r="C8678" i="1"/>
  <c r="C8677" i="1"/>
  <c r="C8676" i="1"/>
  <c r="C8675" i="1"/>
  <c r="C8674" i="1"/>
  <c r="C8673" i="1"/>
  <c r="C8672" i="1"/>
  <c r="C8671" i="1"/>
  <c r="C8670" i="1"/>
  <c r="C8669" i="1"/>
  <c r="C8668" i="1"/>
  <c r="C8667" i="1"/>
  <c r="C8666" i="1"/>
  <c r="C8665" i="1"/>
  <c r="C8664" i="1"/>
  <c r="C8663" i="1"/>
  <c r="C8662" i="1"/>
  <c r="C8661" i="1"/>
  <c r="C8660" i="1"/>
  <c r="C8659" i="1"/>
  <c r="C8658" i="1"/>
  <c r="C8657" i="1"/>
  <c r="C8656" i="1"/>
  <c r="C8655" i="1"/>
  <c r="C8654" i="1"/>
  <c r="C8653" i="1"/>
  <c r="C8652" i="1"/>
  <c r="C8651" i="1"/>
  <c r="C8650" i="1"/>
  <c r="C8649" i="1"/>
  <c r="C8648" i="1"/>
  <c r="C8647" i="1"/>
  <c r="C8646" i="1"/>
  <c r="C8645" i="1"/>
  <c r="C8644" i="1"/>
  <c r="C8643" i="1"/>
  <c r="C8642" i="1"/>
  <c r="C8641" i="1"/>
  <c r="C8640" i="1"/>
  <c r="C8639" i="1"/>
  <c r="C8638" i="1"/>
  <c r="C8637" i="1"/>
  <c r="C8636" i="1"/>
  <c r="C8635" i="1"/>
  <c r="C8634" i="1"/>
  <c r="C8633" i="1"/>
  <c r="C8632" i="1"/>
  <c r="C8631" i="1"/>
  <c r="C8630" i="1"/>
  <c r="C8629" i="1"/>
  <c r="C8628" i="1"/>
  <c r="C8627" i="1"/>
  <c r="C8626" i="1"/>
  <c r="C8625" i="1"/>
  <c r="C8624" i="1"/>
  <c r="C8623" i="1"/>
  <c r="C8622" i="1"/>
  <c r="C8621" i="1"/>
  <c r="C8620" i="1"/>
  <c r="C8619" i="1"/>
  <c r="C8618" i="1"/>
  <c r="C8617" i="1"/>
  <c r="C8616" i="1"/>
  <c r="C8615" i="1"/>
  <c r="C8614" i="1"/>
  <c r="C8613" i="1"/>
  <c r="C8612" i="1"/>
  <c r="C8611" i="1"/>
  <c r="C8610" i="1"/>
  <c r="C8609" i="1"/>
  <c r="C8608" i="1"/>
  <c r="C8607" i="1"/>
  <c r="C8606" i="1"/>
  <c r="C8605" i="1"/>
  <c r="C8604" i="1"/>
  <c r="C8603" i="1"/>
  <c r="C8602" i="1"/>
  <c r="C8601" i="1"/>
  <c r="C8600" i="1"/>
  <c r="C8599" i="1"/>
  <c r="C8598" i="1"/>
  <c r="C8597" i="1"/>
  <c r="C8596" i="1"/>
  <c r="C8595" i="1"/>
  <c r="C8594" i="1"/>
  <c r="C8593" i="1"/>
  <c r="C8592" i="1"/>
  <c r="C8591" i="1"/>
  <c r="C8590" i="1"/>
  <c r="C8589" i="1"/>
  <c r="C8588" i="1"/>
  <c r="C8587" i="1"/>
  <c r="C8586" i="1"/>
  <c r="C8585" i="1"/>
  <c r="C8584" i="1"/>
  <c r="C8583" i="1"/>
  <c r="C8582" i="1"/>
  <c r="C8581" i="1"/>
  <c r="C8580" i="1"/>
  <c r="C8579" i="1"/>
  <c r="C8578" i="1"/>
  <c r="C8577" i="1"/>
  <c r="C8576" i="1"/>
  <c r="C8575" i="1"/>
  <c r="C8574" i="1"/>
  <c r="C8573" i="1"/>
  <c r="C8572" i="1"/>
  <c r="C8571" i="1"/>
  <c r="C8570" i="1"/>
  <c r="C8569" i="1"/>
  <c r="C8568" i="1"/>
  <c r="C8567" i="1"/>
  <c r="C8566" i="1"/>
  <c r="C8565" i="1"/>
  <c r="C8564" i="1"/>
  <c r="C8563" i="1"/>
  <c r="C8562" i="1"/>
  <c r="C8561" i="1"/>
  <c r="C8560" i="1"/>
  <c r="C8559" i="1"/>
  <c r="C8558" i="1"/>
  <c r="C8557" i="1"/>
  <c r="C8556" i="1"/>
  <c r="C8555" i="1"/>
  <c r="C8554" i="1"/>
  <c r="C8553" i="1"/>
  <c r="C8552" i="1"/>
  <c r="C8551" i="1"/>
  <c r="C8550" i="1"/>
  <c r="C8549" i="1"/>
  <c r="C8548" i="1"/>
  <c r="C8547" i="1"/>
  <c r="C8546" i="1"/>
  <c r="C8545" i="1"/>
  <c r="C8544" i="1"/>
  <c r="C8543" i="1"/>
  <c r="C8542" i="1"/>
  <c r="C8541" i="1"/>
  <c r="C8540" i="1"/>
  <c r="C8539" i="1"/>
  <c r="C8538" i="1"/>
  <c r="C8537" i="1"/>
  <c r="C8536" i="1"/>
  <c r="C8535" i="1"/>
  <c r="C8534" i="1"/>
  <c r="C8533" i="1"/>
  <c r="C8532" i="1"/>
  <c r="C8531" i="1"/>
  <c r="C8530" i="1"/>
  <c r="C8529" i="1"/>
  <c r="C8528" i="1"/>
  <c r="C8527" i="1"/>
  <c r="C8526" i="1"/>
  <c r="C8525" i="1"/>
  <c r="C8524" i="1"/>
  <c r="C8523" i="1"/>
  <c r="C8522" i="1"/>
  <c r="C8521" i="1"/>
  <c r="C8520" i="1"/>
  <c r="C8519" i="1"/>
  <c r="C8518" i="1"/>
  <c r="C8517" i="1"/>
  <c r="C8516" i="1"/>
  <c r="C8515" i="1"/>
  <c r="C8514" i="1"/>
  <c r="C8513" i="1"/>
  <c r="C8512" i="1"/>
  <c r="C8511" i="1"/>
  <c r="C8510" i="1"/>
  <c r="C8509" i="1"/>
  <c r="C8508" i="1"/>
  <c r="C8507" i="1"/>
  <c r="C8506" i="1"/>
  <c r="C8505" i="1"/>
  <c r="C8504" i="1"/>
  <c r="C8503" i="1"/>
  <c r="C8502" i="1"/>
  <c r="C8501" i="1"/>
  <c r="C8500" i="1"/>
  <c r="C8499" i="1"/>
  <c r="C8498" i="1"/>
  <c r="C8497" i="1"/>
  <c r="C8496" i="1"/>
  <c r="C8495" i="1"/>
  <c r="C8494" i="1"/>
  <c r="C8493" i="1"/>
  <c r="C8492" i="1"/>
  <c r="C8491" i="1"/>
  <c r="C8490" i="1"/>
  <c r="C8489" i="1"/>
  <c r="C8488" i="1"/>
  <c r="C8487" i="1"/>
  <c r="C8486" i="1"/>
  <c r="C8485" i="1"/>
  <c r="C8484" i="1"/>
  <c r="C8483" i="1"/>
  <c r="C8482" i="1"/>
  <c r="C8481" i="1"/>
  <c r="C8480" i="1"/>
  <c r="C8479" i="1"/>
  <c r="C8478" i="1"/>
  <c r="C8477" i="1"/>
  <c r="C8476" i="1"/>
  <c r="C8475" i="1"/>
  <c r="C8474" i="1"/>
  <c r="C8473" i="1"/>
  <c r="C8472" i="1"/>
  <c r="C8471" i="1"/>
  <c r="C8470" i="1"/>
  <c r="C8469" i="1"/>
  <c r="C8468" i="1"/>
  <c r="C8467" i="1"/>
  <c r="C8466" i="1"/>
  <c r="C8465" i="1"/>
  <c r="C8464" i="1"/>
  <c r="C8463" i="1"/>
  <c r="C8462" i="1"/>
  <c r="C8461" i="1"/>
  <c r="C8460" i="1"/>
  <c r="C8459" i="1"/>
  <c r="C8458" i="1"/>
  <c r="C8457" i="1"/>
  <c r="C8456" i="1"/>
  <c r="C8455" i="1"/>
  <c r="C8454" i="1"/>
  <c r="C8453" i="1"/>
  <c r="C8452" i="1"/>
  <c r="C8451" i="1"/>
  <c r="C8450" i="1"/>
  <c r="C8449" i="1"/>
  <c r="C8448" i="1"/>
  <c r="C8447" i="1"/>
  <c r="C8446" i="1"/>
  <c r="C8445" i="1"/>
  <c r="C8444" i="1"/>
  <c r="C8443" i="1"/>
  <c r="C8442" i="1"/>
  <c r="C8441" i="1"/>
  <c r="C8440" i="1"/>
  <c r="C8439" i="1"/>
  <c r="C8438" i="1"/>
  <c r="C8437" i="1"/>
  <c r="C8436" i="1"/>
  <c r="C8435" i="1"/>
  <c r="C8434" i="1"/>
  <c r="C8433" i="1"/>
  <c r="C8432" i="1"/>
  <c r="C8431" i="1"/>
  <c r="C8430" i="1"/>
  <c r="C8429" i="1"/>
  <c r="C8428" i="1"/>
  <c r="C8427" i="1"/>
  <c r="C8426" i="1"/>
  <c r="C8425" i="1"/>
  <c r="C8424" i="1"/>
  <c r="C8423" i="1"/>
  <c r="C8422" i="1"/>
  <c r="C8421" i="1"/>
  <c r="C8420" i="1"/>
  <c r="C8419" i="1"/>
  <c r="C8418" i="1"/>
  <c r="C8417" i="1"/>
  <c r="C8416" i="1"/>
  <c r="C8415" i="1"/>
  <c r="C8414" i="1"/>
  <c r="C8413" i="1"/>
  <c r="C8412" i="1"/>
  <c r="C8411" i="1"/>
  <c r="C8410" i="1"/>
  <c r="C8409" i="1"/>
  <c r="C8408" i="1"/>
  <c r="C8407" i="1"/>
  <c r="C8406" i="1"/>
  <c r="C8405" i="1"/>
  <c r="C8404" i="1"/>
  <c r="C8403" i="1"/>
  <c r="C8402" i="1"/>
  <c r="C8401" i="1"/>
  <c r="C8400" i="1"/>
  <c r="C8399" i="1"/>
  <c r="C8398" i="1"/>
  <c r="C8397" i="1"/>
  <c r="C8396" i="1"/>
  <c r="C8395" i="1"/>
  <c r="C8394" i="1"/>
  <c r="C8393" i="1"/>
  <c r="C8392" i="1"/>
  <c r="C8391" i="1"/>
  <c r="C8390" i="1"/>
  <c r="C8389" i="1"/>
  <c r="C8388" i="1"/>
  <c r="C8387" i="1"/>
  <c r="C8386" i="1"/>
  <c r="C8385" i="1"/>
  <c r="C8384" i="1"/>
  <c r="C8383" i="1"/>
  <c r="C8382" i="1"/>
  <c r="C8381" i="1"/>
  <c r="C8380" i="1"/>
  <c r="C8379" i="1"/>
  <c r="C8378" i="1"/>
  <c r="C8377" i="1"/>
  <c r="C8376" i="1"/>
  <c r="C8375" i="1"/>
  <c r="C8374" i="1"/>
  <c r="C8373" i="1"/>
  <c r="C8372" i="1"/>
  <c r="C8371" i="1"/>
  <c r="C8370" i="1"/>
  <c r="C8369" i="1"/>
  <c r="C8368" i="1"/>
  <c r="C8367" i="1"/>
  <c r="C8366" i="1"/>
  <c r="C8365" i="1"/>
  <c r="C8364" i="1"/>
  <c r="C8363" i="1"/>
  <c r="C8362" i="1"/>
  <c r="C8361" i="1"/>
  <c r="C8360" i="1"/>
  <c r="C8359" i="1"/>
  <c r="C8358" i="1"/>
  <c r="C8357" i="1"/>
  <c r="C8356" i="1"/>
  <c r="C8355" i="1"/>
  <c r="C8354" i="1"/>
  <c r="C8353" i="1"/>
  <c r="C8352" i="1"/>
  <c r="C8351" i="1"/>
  <c r="C8350" i="1"/>
  <c r="C8349" i="1"/>
  <c r="C8348" i="1"/>
  <c r="C8347" i="1"/>
  <c r="C8346" i="1"/>
  <c r="C8345" i="1"/>
  <c r="C8344" i="1"/>
  <c r="C8343" i="1"/>
  <c r="C8342" i="1"/>
  <c r="C8341" i="1"/>
  <c r="C8340" i="1"/>
  <c r="C8339" i="1"/>
  <c r="C8338" i="1"/>
  <c r="C8337" i="1"/>
  <c r="C8336" i="1"/>
  <c r="C8335" i="1"/>
  <c r="C8334" i="1"/>
  <c r="C8333" i="1"/>
  <c r="C8332" i="1"/>
  <c r="C8331" i="1"/>
  <c r="C8330" i="1"/>
  <c r="C8329" i="1"/>
  <c r="C8328" i="1"/>
  <c r="C8327" i="1"/>
  <c r="C8326" i="1"/>
  <c r="C8325" i="1"/>
  <c r="C8324" i="1"/>
  <c r="C8323" i="1"/>
  <c r="C8322" i="1"/>
  <c r="C8321" i="1"/>
  <c r="C8320" i="1"/>
  <c r="C8319" i="1"/>
  <c r="C8318" i="1"/>
  <c r="C8317" i="1"/>
  <c r="C8316" i="1"/>
  <c r="C8315" i="1"/>
  <c r="C8314" i="1"/>
  <c r="C8313" i="1"/>
  <c r="C8312" i="1"/>
  <c r="C8311" i="1"/>
  <c r="C8310" i="1"/>
  <c r="C8309" i="1"/>
  <c r="C8308" i="1"/>
  <c r="C8307" i="1"/>
  <c r="C8306" i="1"/>
  <c r="C8305" i="1"/>
  <c r="C8304" i="1"/>
  <c r="C8303" i="1"/>
  <c r="C8302" i="1"/>
  <c r="C8301" i="1"/>
  <c r="C8300" i="1"/>
  <c r="C8299" i="1"/>
  <c r="C8298" i="1"/>
  <c r="C8297" i="1"/>
  <c r="C8296" i="1"/>
  <c r="C8295" i="1"/>
  <c r="C8294" i="1"/>
  <c r="C8293" i="1"/>
  <c r="C8292" i="1"/>
  <c r="C8291" i="1"/>
  <c r="C8290" i="1"/>
  <c r="C8289" i="1"/>
  <c r="C8288" i="1"/>
  <c r="C8287" i="1"/>
  <c r="C8286" i="1"/>
  <c r="C8285" i="1"/>
  <c r="C8284" i="1"/>
  <c r="C8283" i="1"/>
  <c r="C8282" i="1"/>
  <c r="C8281" i="1"/>
  <c r="C8280" i="1"/>
  <c r="C8279" i="1"/>
  <c r="C8278" i="1"/>
  <c r="C8277" i="1"/>
  <c r="C8276" i="1"/>
  <c r="C8275" i="1"/>
  <c r="C8274" i="1"/>
  <c r="C8273" i="1"/>
  <c r="C8272" i="1"/>
  <c r="C8271" i="1"/>
  <c r="C8270" i="1"/>
  <c r="C8269" i="1"/>
  <c r="C8268" i="1"/>
  <c r="C8267" i="1"/>
  <c r="C8266" i="1"/>
  <c r="C8265" i="1"/>
  <c r="C8264" i="1"/>
  <c r="C8263" i="1"/>
  <c r="C8262" i="1"/>
  <c r="C8261" i="1"/>
  <c r="C8260" i="1"/>
  <c r="C8259" i="1"/>
  <c r="C8258" i="1"/>
  <c r="C8257" i="1"/>
  <c r="C8256" i="1"/>
  <c r="C8255" i="1"/>
  <c r="C8254" i="1"/>
  <c r="C8253" i="1"/>
  <c r="C8252" i="1"/>
  <c r="C8251" i="1"/>
  <c r="C8250" i="1"/>
  <c r="C8249" i="1"/>
  <c r="C8248" i="1"/>
  <c r="C8247" i="1"/>
  <c r="C8246" i="1"/>
  <c r="C8245" i="1"/>
  <c r="C8244" i="1"/>
  <c r="C8243" i="1"/>
  <c r="C8242" i="1"/>
  <c r="C8241" i="1"/>
  <c r="C8240" i="1"/>
  <c r="C8239" i="1"/>
  <c r="C8238" i="1"/>
  <c r="C8237" i="1"/>
  <c r="C8236" i="1"/>
  <c r="C8235" i="1"/>
  <c r="C8234" i="1"/>
  <c r="C8233" i="1"/>
  <c r="C8232" i="1"/>
  <c r="C8231" i="1"/>
  <c r="C8230" i="1"/>
  <c r="C8229" i="1"/>
  <c r="C8228" i="1"/>
  <c r="C8227" i="1"/>
  <c r="C8226" i="1"/>
  <c r="C8225" i="1"/>
  <c r="C8224" i="1"/>
  <c r="C8223" i="1"/>
  <c r="C8222" i="1"/>
  <c r="C8221" i="1"/>
  <c r="C8220" i="1"/>
  <c r="C8219" i="1"/>
  <c r="C8218" i="1"/>
  <c r="C8217" i="1"/>
  <c r="C8216" i="1"/>
  <c r="C8215" i="1"/>
  <c r="C8214" i="1"/>
  <c r="C8213" i="1"/>
  <c r="C8212" i="1"/>
  <c r="C8211" i="1"/>
  <c r="C8210" i="1"/>
  <c r="C8209" i="1"/>
  <c r="C8208" i="1"/>
  <c r="C8207" i="1"/>
  <c r="C8206" i="1"/>
  <c r="C8205" i="1"/>
  <c r="C8204" i="1"/>
  <c r="C8203" i="1"/>
  <c r="C8202" i="1"/>
  <c r="C8201" i="1"/>
  <c r="C8200" i="1"/>
  <c r="C8199" i="1"/>
  <c r="C8198" i="1"/>
  <c r="C8197" i="1"/>
  <c r="C8196" i="1"/>
  <c r="C8195" i="1"/>
  <c r="C8194" i="1"/>
  <c r="C8193" i="1"/>
  <c r="C8192" i="1"/>
  <c r="C8191" i="1"/>
  <c r="C8190" i="1"/>
  <c r="C8189" i="1"/>
  <c r="C8188" i="1"/>
  <c r="C8187" i="1"/>
  <c r="C8186" i="1"/>
  <c r="C8185" i="1"/>
  <c r="C8184" i="1"/>
  <c r="C8183" i="1"/>
  <c r="C8182" i="1"/>
  <c r="C8181" i="1"/>
  <c r="C8180" i="1"/>
  <c r="C8179" i="1"/>
  <c r="C8178" i="1"/>
  <c r="C8177" i="1"/>
  <c r="C8176" i="1"/>
  <c r="C8175" i="1"/>
  <c r="C8174" i="1"/>
  <c r="C8173" i="1"/>
  <c r="C8172" i="1"/>
  <c r="C8171" i="1"/>
  <c r="C8170" i="1"/>
  <c r="C8169" i="1"/>
  <c r="C8168" i="1"/>
  <c r="C8167" i="1"/>
  <c r="C8166" i="1"/>
  <c r="C8165" i="1"/>
  <c r="C8164" i="1"/>
  <c r="C8163" i="1"/>
  <c r="C8162" i="1"/>
  <c r="C8161" i="1"/>
  <c r="C8160" i="1"/>
  <c r="C8159" i="1"/>
  <c r="C8158" i="1"/>
  <c r="C8157" i="1"/>
  <c r="C8156" i="1"/>
  <c r="C8155" i="1"/>
  <c r="C8154" i="1"/>
  <c r="C8153" i="1"/>
  <c r="C8152" i="1"/>
  <c r="C8151" i="1"/>
  <c r="C8150" i="1"/>
  <c r="C8149" i="1"/>
  <c r="C8148" i="1"/>
  <c r="C8147" i="1"/>
  <c r="C8146" i="1"/>
  <c r="C8145" i="1"/>
  <c r="C8144" i="1"/>
  <c r="C8143" i="1"/>
  <c r="C8142" i="1"/>
  <c r="C8141" i="1"/>
  <c r="C8140" i="1"/>
  <c r="C8139" i="1"/>
  <c r="C8138" i="1"/>
  <c r="C8137" i="1"/>
  <c r="C8136" i="1"/>
  <c r="C8135" i="1"/>
  <c r="C8134" i="1"/>
  <c r="C8133" i="1"/>
  <c r="C8132" i="1"/>
  <c r="C8131" i="1"/>
  <c r="C8130" i="1"/>
  <c r="C8129" i="1"/>
  <c r="C8128" i="1"/>
  <c r="C8127" i="1"/>
  <c r="C8126" i="1"/>
  <c r="C8125" i="1"/>
  <c r="C8124" i="1"/>
  <c r="C8123" i="1"/>
  <c r="C8122" i="1"/>
  <c r="C8121" i="1"/>
  <c r="C8120" i="1"/>
  <c r="C8119" i="1"/>
  <c r="C8118" i="1"/>
  <c r="C8117" i="1"/>
  <c r="C8116" i="1"/>
  <c r="C8115" i="1"/>
  <c r="C8114" i="1"/>
  <c r="C8113" i="1"/>
  <c r="C8112" i="1"/>
  <c r="C8111" i="1"/>
  <c r="C8110" i="1"/>
  <c r="C8109" i="1"/>
  <c r="C8108" i="1"/>
  <c r="C8107" i="1"/>
  <c r="C8106" i="1"/>
  <c r="C8105" i="1"/>
  <c r="C8104" i="1"/>
  <c r="C8103" i="1"/>
  <c r="C8102" i="1"/>
  <c r="C8101" i="1"/>
  <c r="C8100" i="1"/>
  <c r="C8099" i="1"/>
  <c r="C8098" i="1"/>
  <c r="C8097" i="1"/>
  <c r="C8096" i="1"/>
  <c r="C8095" i="1"/>
  <c r="C8094" i="1"/>
  <c r="C8093" i="1"/>
  <c r="C8092" i="1"/>
  <c r="C8091" i="1"/>
  <c r="C8090" i="1"/>
  <c r="C8089" i="1"/>
  <c r="C8088" i="1"/>
  <c r="C8087" i="1"/>
  <c r="C8086" i="1"/>
  <c r="C8085" i="1"/>
  <c r="C8084" i="1"/>
  <c r="C8083" i="1"/>
  <c r="C8082" i="1"/>
  <c r="C8081" i="1"/>
  <c r="C8080" i="1"/>
  <c r="C8079" i="1"/>
  <c r="C8078" i="1"/>
  <c r="C8077" i="1"/>
  <c r="C8076" i="1"/>
  <c r="C8075" i="1"/>
  <c r="C8074" i="1"/>
  <c r="C8073" i="1"/>
  <c r="C8072" i="1"/>
  <c r="C8071" i="1"/>
  <c r="C8070" i="1"/>
  <c r="C8069" i="1"/>
  <c r="C8068" i="1"/>
  <c r="C8067" i="1"/>
  <c r="C8066" i="1"/>
  <c r="C8065" i="1"/>
  <c r="C8064" i="1"/>
  <c r="C8063" i="1"/>
  <c r="C8062" i="1"/>
  <c r="C8061" i="1"/>
  <c r="C8060" i="1"/>
  <c r="C8059" i="1"/>
  <c r="C8058" i="1"/>
  <c r="C8057" i="1"/>
  <c r="C8056" i="1"/>
  <c r="C8055" i="1"/>
  <c r="C8054" i="1"/>
  <c r="C8053" i="1"/>
  <c r="C8052" i="1"/>
  <c r="C8051" i="1"/>
  <c r="C8050" i="1"/>
  <c r="C8049" i="1"/>
  <c r="C8048" i="1"/>
  <c r="C8047" i="1"/>
  <c r="C8046" i="1"/>
  <c r="C8045" i="1"/>
  <c r="C8044" i="1"/>
  <c r="C8043" i="1"/>
  <c r="C8042" i="1"/>
  <c r="C8041" i="1"/>
  <c r="C8040" i="1"/>
  <c r="C8039" i="1"/>
  <c r="C8038" i="1"/>
  <c r="C8037" i="1"/>
  <c r="C8036" i="1"/>
  <c r="C8035" i="1"/>
  <c r="C8034" i="1"/>
  <c r="C8033" i="1"/>
  <c r="C8032" i="1"/>
  <c r="C8031" i="1"/>
  <c r="C8030" i="1"/>
  <c r="C8029" i="1"/>
  <c r="C8028" i="1"/>
  <c r="C8027" i="1"/>
  <c r="C8026" i="1"/>
  <c r="C8025" i="1"/>
  <c r="C8024" i="1"/>
  <c r="C8023" i="1"/>
  <c r="C8022" i="1"/>
  <c r="C8021" i="1"/>
  <c r="C8020" i="1"/>
  <c r="C8019" i="1"/>
  <c r="C8018" i="1"/>
  <c r="C8017" i="1"/>
  <c r="C8016" i="1"/>
  <c r="C8015" i="1"/>
  <c r="C8014" i="1"/>
  <c r="C8013" i="1"/>
  <c r="C8012" i="1"/>
  <c r="C8011" i="1"/>
  <c r="C8010" i="1"/>
  <c r="C8009" i="1"/>
  <c r="C8008" i="1"/>
  <c r="C8007" i="1"/>
  <c r="C8006" i="1"/>
  <c r="C8005" i="1"/>
  <c r="C8004" i="1"/>
  <c r="C8003" i="1"/>
  <c r="C8002" i="1"/>
  <c r="C8001" i="1"/>
  <c r="C8000" i="1"/>
  <c r="C7999" i="1"/>
  <c r="C7998" i="1"/>
  <c r="C7997" i="1"/>
  <c r="C7996" i="1"/>
  <c r="C7995" i="1"/>
  <c r="C7994" i="1"/>
  <c r="C7993" i="1"/>
  <c r="C7992" i="1"/>
  <c r="C7991" i="1"/>
  <c r="C7990" i="1"/>
  <c r="C7989" i="1"/>
  <c r="C7988" i="1"/>
  <c r="C7987" i="1"/>
  <c r="C7986" i="1"/>
  <c r="C7985" i="1"/>
  <c r="C7984" i="1"/>
  <c r="C7983" i="1"/>
  <c r="C7982" i="1"/>
  <c r="C7981" i="1"/>
  <c r="C7980" i="1"/>
  <c r="C7979" i="1"/>
  <c r="C7978" i="1"/>
  <c r="C7977" i="1"/>
  <c r="C7976" i="1"/>
  <c r="C7975" i="1"/>
  <c r="C7974" i="1"/>
  <c r="C7973" i="1"/>
  <c r="C7972" i="1"/>
  <c r="C7971" i="1"/>
  <c r="C7970" i="1"/>
  <c r="C7969" i="1"/>
  <c r="C7968" i="1"/>
  <c r="C7967" i="1"/>
  <c r="C7966" i="1"/>
  <c r="C7965" i="1"/>
  <c r="C7964" i="1"/>
  <c r="C7963" i="1"/>
  <c r="C7962" i="1"/>
  <c r="C7961" i="1"/>
  <c r="C7960" i="1"/>
  <c r="C7959" i="1"/>
  <c r="C7958" i="1"/>
  <c r="C7957" i="1"/>
  <c r="C7956" i="1"/>
  <c r="C7955" i="1"/>
  <c r="C7954" i="1"/>
  <c r="C7953" i="1"/>
  <c r="C7952" i="1"/>
  <c r="C7951" i="1"/>
  <c r="C7950" i="1"/>
  <c r="C7949" i="1"/>
  <c r="C7948" i="1"/>
  <c r="C7947" i="1"/>
  <c r="C7946" i="1"/>
  <c r="C7945" i="1"/>
  <c r="C7944" i="1"/>
  <c r="C7943" i="1"/>
  <c r="C7942" i="1"/>
  <c r="C7941" i="1"/>
  <c r="C7940" i="1"/>
  <c r="C7939" i="1"/>
  <c r="C7938" i="1"/>
  <c r="C7937" i="1"/>
  <c r="C7936" i="1"/>
  <c r="C7935" i="1"/>
  <c r="C7934" i="1"/>
  <c r="C7933" i="1"/>
  <c r="C7932" i="1"/>
  <c r="C7931" i="1"/>
  <c r="C7930" i="1"/>
  <c r="C7929" i="1"/>
  <c r="C7928" i="1"/>
  <c r="C7927" i="1"/>
  <c r="C7926" i="1"/>
  <c r="C7925" i="1"/>
  <c r="C7924" i="1"/>
  <c r="C7923" i="1"/>
  <c r="C7922" i="1"/>
  <c r="C7921" i="1"/>
  <c r="C7920" i="1"/>
  <c r="C7919" i="1"/>
  <c r="C7918" i="1"/>
  <c r="C7917" i="1"/>
  <c r="C7916" i="1"/>
  <c r="C7915" i="1"/>
  <c r="C7914" i="1"/>
  <c r="C7913" i="1"/>
  <c r="C7912" i="1"/>
  <c r="C7911" i="1"/>
  <c r="C7910" i="1"/>
  <c r="C7909" i="1"/>
  <c r="C7908" i="1"/>
  <c r="C7907" i="1"/>
  <c r="C7906" i="1"/>
  <c r="C7905" i="1"/>
  <c r="C7904" i="1"/>
  <c r="C7903" i="1"/>
  <c r="C7902" i="1"/>
  <c r="C7901" i="1"/>
  <c r="C7900" i="1"/>
  <c r="C7899" i="1"/>
  <c r="C7898" i="1"/>
  <c r="C7897" i="1"/>
  <c r="C7896" i="1"/>
  <c r="C7895" i="1"/>
  <c r="C7894" i="1"/>
  <c r="C7893" i="1"/>
  <c r="C7892" i="1"/>
  <c r="C7891" i="1"/>
  <c r="C7890" i="1"/>
  <c r="C7889" i="1"/>
  <c r="C7888" i="1"/>
  <c r="C7887" i="1"/>
  <c r="C7886" i="1"/>
  <c r="C7885" i="1"/>
  <c r="C7884" i="1"/>
  <c r="C7883" i="1"/>
  <c r="C7882" i="1"/>
  <c r="C7881" i="1"/>
  <c r="C7880" i="1"/>
  <c r="C7879" i="1"/>
  <c r="C7878" i="1"/>
  <c r="C7877" i="1"/>
  <c r="C7876" i="1"/>
  <c r="C7875" i="1"/>
  <c r="C7874" i="1"/>
  <c r="C7873" i="1"/>
  <c r="C7872" i="1"/>
  <c r="C7871" i="1"/>
  <c r="C7870" i="1"/>
  <c r="C7869" i="1"/>
  <c r="C7868" i="1"/>
  <c r="C7867" i="1"/>
  <c r="C7866" i="1"/>
  <c r="C7865" i="1"/>
  <c r="C7864" i="1"/>
  <c r="C7863" i="1"/>
  <c r="C7862" i="1"/>
  <c r="C7861" i="1"/>
  <c r="C7860" i="1"/>
  <c r="C7859" i="1"/>
  <c r="C7858" i="1"/>
  <c r="C7857" i="1"/>
  <c r="C7856" i="1"/>
  <c r="C7855" i="1"/>
  <c r="C7854" i="1"/>
  <c r="C7853" i="1"/>
  <c r="C7852" i="1"/>
  <c r="C7851" i="1"/>
  <c r="C7850" i="1"/>
  <c r="C7849" i="1"/>
  <c r="C7848" i="1"/>
  <c r="C7847" i="1"/>
  <c r="C7846" i="1"/>
  <c r="C7845" i="1"/>
  <c r="C7844" i="1"/>
  <c r="C7843" i="1"/>
  <c r="C7842" i="1"/>
  <c r="C7841" i="1"/>
  <c r="C7840" i="1"/>
  <c r="C7839" i="1"/>
  <c r="C7838" i="1"/>
  <c r="C7837" i="1"/>
  <c r="C7836" i="1"/>
  <c r="C7835" i="1"/>
  <c r="C7834" i="1"/>
  <c r="C7833" i="1"/>
  <c r="C7832" i="1"/>
  <c r="C7831" i="1"/>
  <c r="C7830" i="1"/>
  <c r="C7829" i="1"/>
  <c r="C7828" i="1"/>
  <c r="C7827" i="1"/>
  <c r="C7826" i="1"/>
  <c r="C7825" i="1"/>
  <c r="C7824" i="1"/>
  <c r="C7823" i="1"/>
  <c r="C7822" i="1"/>
  <c r="C7821" i="1"/>
  <c r="C7820" i="1"/>
  <c r="C7819" i="1"/>
  <c r="C7818" i="1"/>
  <c r="C7817" i="1"/>
  <c r="C7816" i="1"/>
  <c r="C7815" i="1"/>
  <c r="C7814" i="1"/>
  <c r="C7813" i="1"/>
  <c r="C7812" i="1"/>
  <c r="C7811" i="1"/>
  <c r="C7810" i="1"/>
  <c r="C7809" i="1"/>
  <c r="C7808" i="1"/>
  <c r="C7807" i="1"/>
  <c r="C7806" i="1"/>
  <c r="C7805" i="1"/>
  <c r="C7804" i="1"/>
  <c r="C7803" i="1"/>
  <c r="C7802" i="1"/>
  <c r="C7801" i="1"/>
  <c r="C7800" i="1"/>
  <c r="C7799" i="1"/>
  <c r="C7798" i="1"/>
  <c r="C7797" i="1"/>
  <c r="C7796" i="1"/>
  <c r="C7795" i="1"/>
  <c r="C7794" i="1"/>
  <c r="C7793" i="1"/>
  <c r="C7792" i="1"/>
  <c r="C7791" i="1"/>
  <c r="C7790" i="1"/>
  <c r="C7789" i="1"/>
  <c r="C7788" i="1"/>
  <c r="C7787" i="1"/>
  <c r="C7786" i="1"/>
  <c r="C7785" i="1"/>
  <c r="C7784" i="1"/>
  <c r="C7783" i="1"/>
  <c r="C7782" i="1"/>
  <c r="C7781" i="1"/>
  <c r="C7780" i="1"/>
  <c r="C7779" i="1"/>
  <c r="C7778" i="1"/>
  <c r="C7777" i="1"/>
  <c r="C7776" i="1"/>
  <c r="C7775" i="1"/>
  <c r="C7774" i="1"/>
  <c r="C7773" i="1"/>
  <c r="C7772" i="1"/>
  <c r="C7771" i="1"/>
  <c r="C7770" i="1"/>
  <c r="C7769" i="1"/>
  <c r="C7768" i="1"/>
  <c r="C7767" i="1"/>
  <c r="C7766" i="1"/>
  <c r="C7765" i="1"/>
  <c r="C7764" i="1"/>
  <c r="C7763" i="1"/>
  <c r="C7762" i="1"/>
  <c r="C7761" i="1"/>
  <c r="C7760" i="1"/>
  <c r="C7759" i="1"/>
  <c r="C7758" i="1"/>
  <c r="C7757" i="1"/>
  <c r="C7756" i="1"/>
  <c r="C7755" i="1"/>
  <c r="C7754" i="1"/>
  <c r="C7753" i="1"/>
  <c r="C7752" i="1"/>
  <c r="C7751" i="1"/>
  <c r="C7750" i="1"/>
  <c r="C7749" i="1"/>
  <c r="C7748" i="1"/>
  <c r="C7747" i="1"/>
  <c r="C7746" i="1"/>
  <c r="C7745" i="1"/>
  <c r="C7744" i="1"/>
  <c r="C7743" i="1"/>
  <c r="C7742" i="1"/>
  <c r="C7741" i="1"/>
  <c r="C7740" i="1"/>
  <c r="C7739" i="1"/>
  <c r="C7738" i="1"/>
  <c r="C7737" i="1"/>
  <c r="C7736" i="1"/>
  <c r="C7735" i="1"/>
  <c r="C7734" i="1"/>
  <c r="C7733" i="1"/>
  <c r="C7732" i="1"/>
  <c r="C7731" i="1"/>
  <c r="C7730" i="1"/>
  <c r="C7729" i="1"/>
  <c r="C7728" i="1"/>
  <c r="C7727" i="1"/>
  <c r="C7726" i="1"/>
  <c r="C7725" i="1"/>
  <c r="C7724" i="1"/>
  <c r="C7723" i="1"/>
  <c r="C7722" i="1"/>
  <c r="C7721" i="1"/>
  <c r="C7720" i="1"/>
  <c r="C7719" i="1"/>
  <c r="C7718" i="1"/>
  <c r="C7717" i="1"/>
  <c r="C7716" i="1"/>
  <c r="C7715" i="1"/>
  <c r="C7714" i="1"/>
  <c r="C7713" i="1"/>
  <c r="C7712" i="1"/>
  <c r="C7711" i="1"/>
  <c r="C7710" i="1"/>
  <c r="C7709" i="1"/>
  <c r="C7708" i="1"/>
  <c r="C7707" i="1"/>
  <c r="C7706" i="1"/>
  <c r="C7705" i="1"/>
  <c r="C7704" i="1"/>
  <c r="C7703" i="1"/>
  <c r="C7702" i="1"/>
  <c r="C7701" i="1"/>
  <c r="C7700" i="1"/>
  <c r="C7699" i="1"/>
  <c r="C7698" i="1"/>
  <c r="C7697" i="1"/>
  <c r="C7696" i="1"/>
  <c r="C7695" i="1"/>
  <c r="C7694" i="1"/>
  <c r="C7693" i="1"/>
  <c r="C7692" i="1"/>
  <c r="C7691" i="1"/>
  <c r="C7690" i="1"/>
  <c r="C7689" i="1"/>
  <c r="C7688" i="1"/>
  <c r="C7687" i="1"/>
  <c r="C7686" i="1"/>
  <c r="C7685" i="1"/>
  <c r="C7684" i="1"/>
  <c r="C7683" i="1"/>
  <c r="C7682" i="1"/>
  <c r="C7681" i="1"/>
  <c r="C7680" i="1"/>
  <c r="C7679" i="1"/>
  <c r="C7678" i="1"/>
  <c r="C7677" i="1"/>
  <c r="C7676" i="1"/>
  <c r="C7675" i="1"/>
  <c r="C7674" i="1"/>
  <c r="C7673" i="1"/>
  <c r="C7672" i="1"/>
  <c r="C7671" i="1"/>
  <c r="C7670" i="1"/>
  <c r="C7669" i="1"/>
  <c r="C7668" i="1"/>
  <c r="C7667" i="1"/>
  <c r="C7666" i="1"/>
  <c r="C7665" i="1"/>
  <c r="C7664" i="1"/>
  <c r="C7663" i="1"/>
  <c r="C7662" i="1"/>
  <c r="C7661" i="1"/>
  <c r="C7660" i="1"/>
  <c r="C7659" i="1"/>
  <c r="C7658" i="1"/>
  <c r="C7657" i="1"/>
  <c r="C7656" i="1"/>
  <c r="C7655" i="1"/>
  <c r="C7654" i="1"/>
  <c r="C7653" i="1"/>
  <c r="C7652" i="1"/>
  <c r="C7651" i="1"/>
  <c r="C7650" i="1"/>
  <c r="C7649" i="1"/>
  <c r="C7648" i="1"/>
  <c r="C7647" i="1"/>
  <c r="C7646" i="1"/>
  <c r="C7645" i="1"/>
  <c r="C7644" i="1"/>
  <c r="C7643" i="1"/>
  <c r="C7642" i="1"/>
  <c r="C7641" i="1"/>
  <c r="C7640" i="1"/>
  <c r="C7639" i="1"/>
  <c r="C7638" i="1"/>
  <c r="C7637" i="1"/>
  <c r="C7636" i="1"/>
  <c r="C7635" i="1"/>
  <c r="C7634" i="1"/>
  <c r="C7633" i="1"/>
  <c r="C7632" i="1"/>
  <c r="C7631" i="1"/>
  <c r="C7630" i="1"/>
  <c r="C7629" i="1"/>
  <c r="C7628" i="1"/>
  <c r="C7627" i="1"/>
  <c r="C7626" i="1"/>
  <c r="C7625" i="1"/>
  <c r="C7624" i="1"/>
  <c r="C7623" i="1"/>
  <c r="C7622" i="1"/>
  <c r="C7621" i="1"/>
  <c r="C7620" i="1"/>
  <c r="C7619" i="1"/>
  <c r="C7618" i="1"/>
  <c r="C7617" i="1"/>
  <c r="C7616" i="1"/>
  <c r="C7615" i="1"/>
  <c r="C7614" i="1"/>
  <c r="C7613" i="1"/>
  <c r="C7612" i="1"/>
  <c r="C7611" i="1"/>
  <c r="C7610" i="1"/>
  <c r="C7609" i="1"/>
  <c r="C7608" i="1"/>
  <c r="C7607" i="1"/>
  <c r="C7606" i="1"/>
  <c r="C7605" i="1"/>
  <c r="C7604" i="1"/>
  <c r="C7603" i="1"/>
  <c r="C7602" i="1"/>
  <c r="C7601" i="1"/>
  <c r="C7600" i="1"/>
  <c r="C7599" i="1"/>
  <c r="C7598" i="1"/>
  <c r="C7597" i="1"/>
  <c r="C7596" i="1"/>
  <c r="C7595" i="1"/>
  <c r="C7594" i="1"/>
  <c r="C7593" i="1"/>
  <c r="C7592" i="1"/>
  <c r="C7591" i="1"/>
  <c r="C7590" i="1"/>
  <c r="C7589" i="1"/>
  <c r="C7588" i="1"/>
  <c r="C7587" i="1"/>
  <c r="C7586" i="1"/>
  <c r="C7585" i="1"/>
  <c r="C7584" i="1"/>
  <c r="C7583" i="1"/>
  <c r="C7582" i="1"/>
  <c r="C7581" i="1"/>
  <c r="C7580" i="1"/>
  <c r="C7579" i="1"/>
  <c r="C7578" i="1"/>
  <c r="C7577" i="1"/>
  <c r="C7576" i="1"/>
  <c r="C7575" i="1"/>
  <c r="C7574" i="1"/>
  <c r="C7573" i="1"/>
  <c r="C7572" i="1"/>
  <c r="C7571" i="1"/>
  <c r="C7570" i="1"/>
  <c r="C7569" i="1"/>
  <c r="C7568" i="1"/>
  <c r="C7567" i="1"/>
  <c r="C7566" i="1"/>
  <c r="C7565" i="1"/>
  <c r="C7564" i="1"/>
  <c r="C7563" i="1"/>
  <c r="C7562" i="1"/>
  <c r="C7561" i="1"/>
  <c r="C7560" i="1"/>
  <c r="C7559" i="1"/>
  <c r="C7558" i="1"/>
  <c r="C7557" i="1"/>
  <c r="C7556" i="1"/>
  <c r="C7555" i="1"/>
  <c r="C7554" i="1"/>
  <c r="C7553" i="1"/>
  <c r="C7552" i="1"/>
  <c r="C7551" i="1"/>
  <c r="C7550" i="1"/>
  <c r="C7549" i="1"/>
  <c r="C7548" i="1"/>
  <c r="C7547" i="1"/>
  <c r="C7546" i="1"/>
  <c r="C7545" i="1"/>
  <c r="C7544" i="1"/>
  <c r="C7543" i="1"/>
  <c r="C7542" i="1"/>
  <c r="C7541" i="1"/>
  <c r="C7540" i="1"/>
  <c r="C7539" i="1"/>
  <c r="C7538" i="1"/>
  <c r="C7537" i="1"/>
  <c r="C7536" i="1"/>
  <c r="C7535" i="1"/>
  <c r="C7534" i="1"/>
  <c r="C7533" i="1"/>
  <c r="C7532" i="1"/>
  <c r="C7531" i="1"/>
  <c r="C7530" i="1"/>
  <c r="C7529" i="1"/>
  <c r="C7528" i="1"/>
  <c r="C7527" i="1"/>
  <c r="C7526" i="1"/>
  <c r="C7525" i="1"/>
  <c r="C7524" i="1"/>
  <c r="C7523" i="1"/>
  <c r="C7522" i="1"/>
  <c r="C7521" i="1"/>
  <c r="C7520" i="1"/>
  <c r="C7519" i="1"/>
  <c r="C7518" i="1"/>
  <c r="C7517" i="1"/>
  <c r="C7516" i="1"/>
  <c r="C7515" i="1"/>
  <c r="C7514" i="1"/>
  <c r="C7513" i="1"/>
  <c r="C7512" i="1"/>
  <c r="C7511" i="1"/>
  <c r="C7510" i="1"/>
  <c r="C7509" i="1"/>
  <c r="C7508" i="1"/>
  <c r="C7507" i="1"/>
  <c r="C7506" i="1"/>
  <c r="C7505" i="1"/>
  <c r="C7504" i="1"/>
  <c r="C7503" i="1"/>
  <c r="C7502" i="1"/>
  <c r="C7501" i="1"/>
  <c r="C7500" i="1"/>
  <c r="C7499" i="1"/>
  <c r="C7498" i="1"/>
  <c r="C7497" i="1"/>
  <c r="C7496" i="1"/>
  <c r="C7495" i="1"/>
  <c r="C7494" i="1"/>
  <c r="C7493" i="1"/>
  <c r="C7492" i="1"/>
  <c r="C7491" i="1"/>
  <c r="C7490" i="1"/>
  <c r="C7489" i="1"/>
  <c r="C7488" i="1"/>
  <c r="C7487" i="1"/>
  <c r="C7486" i="1"/>
  <c r="C7485" i="1"/>
  <c r="C7484" i="1"/>
  <c r="C7483" i="1"/>
  <c r="C7482" i="1"/>
  <c r="C7481" i="1"/>
  <c r="C7480" i="1"/>
  <c r="C7479" i="1"/>
  <c r="C7478" i="1"/>
  <c r="C7477" i="1"/>
  <c r="C7476" i="1"/>
  <c r="C7475" i="1"/>
  <c r="C7474" i="1"/>
  <c r="C7473" i="1"/>
  <c r="C7472" i="1"/>
  <c r="C7471" i="1"/>
  <c r="C7470" i="1"/>
  <c r="C7469" i="1"/>
  <c r="C7468" i="1"/>
  <c r="C7467" i="1"/>
  <c r="C7466" i="1"/>
  <c r="C7465" i="1"/>
  <c r="C7464" i="1"/>
  <c r="C7463" i="1"/>
  <c r="C7462" i="1"/>
  <c r="C7461" i="1"/>
  <c r="C7460" i="1"/>
  <c r="C7459" i="1"/>
  <c r="C7458" i="1"/>
  <c r="C7457" i="1"/>
  <c r="C7456" i="1"/>
  <c r="C7455" i="1"/>
  <c r="C7454" i="1"/>
  <c r="C7453" i="1"/>
  <c r="C7452" i="1"/>
  <c r="C7451" i="1"/>
  <c r="C7450" i="1"/>
  <c r="C7449" i="1"/>
  <c r="C7448" i="1"/>
  <c r="C7447" i="1"/>
  <c r="C7446" i="1"/>
  <c r="C7445" i="1"/>
  <c r="C7444" i="1"/>
  <c r="C7443" i="1"/>
  <c r="C7442" i="1"/>
  <c r="C7441" i="1"/>
  <c r="C7440" i="1"/>
  <c r="C7439" i="1"/>
  <c r="C7438" i="1"/>
  <c r="C7437" i="1"/>
  <c r="C7436" i="1"/>
  <c r="C7435" i="1"/>
  <c r="C7434" i="1"/>
  <c r="C7433" i="1"/>
  <c r="C7432" i="1"/>
  <c r="C7431" i="1"/>
  <c r="C7430" i="1"/>
  <c r="C7429" i="1"/>
  <c r="C7428" i="1"/>
  <c r="C7427" i="1"/>
  <c r="C7426" i="1"/>
  <c r="C7425" i="1"/>
  <c r="C7424" i="1"/>
  <c r="C7423" i="1"/>
  <c r="C7422" i="1"/>
  <c r="C7421" i="1"/>
  <c r="C7420" i="1"/>
  <c r="C7419" i="1"/>
  <c r="C7418" i="1"/>
  <c r="C7417" i="1"/>
  <c r="C7416" i="1"/>
  <c r="C7415" i="1"/>
  <c r="C7414" i="1"/>
  <c r="C7413" i="1"/>
  <c r="C7412" i="1"/>
  <c r="C7411" i="1"/>
  <c r="C7410" i="1"/>
  <c r="C7409" i="1"/>
  <c r="C7408" i="1"/>
  <c r="C7407" i="1"/>
  <c r="C7406" i="1"/>
  <c r="C7405" i="1"/>
  <c r="C7404" i="1"/>
  <c r="C7403" i="1"/>
  <c r="C7402" i="1"/>
  <c r="C7401" i="1"/>
  <c r="C7400" i="1"/>
  <c r="C7399" i="1"/>
  <c r="C7398" i="1"/>
  <c r="C7397" i="1"/>
  <c r="C7396" i="1"/>
  <c r="C7395" i="1"/>
  <c r="C7394" i="1"/>
  <c r="C7393" i="1"/>
  <c r="C7392" i="1"/>
  <c r="C7391" i="1"/>
  <c r="C7390" i="1"/>
  <c r="C7389" i="1"/>
  <c r="C7388" i="1"/>
  <c r="C7387" i="1"/>
  <c r="C7386" i="1"/>
  <c r="C7385" i="1"/>
  <c r="C7384" i="1"/>
  <c r="C7383" i="1"/>
  <c r="C7382" i="1"/>
  <c r="C7381" i="1"/>
  <c r="C7380" i="1"/>
  <c r="C7379" i="1"/>
  <c r="C7378" i="1"/>
  <c r="C7377" i="1"/>
  <c r="C7376" i="1"/>
  <c r="C7375" i="1"/>
  <c r="C7374" i="1"/>
  <c r="C7373" i="1"/>
  <c r="C7372" i="1"/>
  <c r="C7371" i="1"/>
  <c r="C7370" i="1"/>
  <c r="C7369" i="1"/>
  <c r="C7368" i="1"/>
  <c r="C7367" i="1"/>
  <c r="C7366" i="1"/>
  <c r="C7365" i="1"/>
  <c r="C7364" i="1"/>
  <c r="C7363" i="1"/>
  <c r="C7362" i="1"/>
  <c r="C7361" i="1"/>
  <c r="C7360" i="1"/>
  <c r="C7359" i="1"/>
  <c r="C7358" i="1"/>
  <c r="C7357" i="1"/>
  <c r="C7356" i="1"/>
  <c r="C7355" i="1"/>
  <c r="C7354" i="1"/>
  <c r="C7353" i="1"/>
  <c r="C7352" i="1"/>
  <c r="C7351" i="1"/>
  <c r="C7350" i="1"/>
  <c r="C7349" i="1"/>
  <c r="C7348" i="1"/>
  <c r="C7347" i="1"/>
  <c r="C7346" i="1"/>
  <c r="C7345" i="1"/>
  <c r="C7344" i="1"/>
  <c r="C7343" i="1"/>
  <c r="C7342" i="1"/>
  <c r="C7341" i="1"/>
  <c r="C7340" i="1"/>
  <c r="C7339" i="1"/>
  <c r="C7338" i="1"/>
  <c r="C7337" i="1"/>
  <c r="C7336" i="1"/>
  <c r="C7335" i="1"/>
  <c r="C7334" i="1"/>
  <c r="C7333" i="1"/>
  <c r="C7332" i="1"/>
  <c r="C7331" i="1"/>
  <c r="C7330" i="1"/>
  <c r="C7329" i="1"/>
  <c r="C7328" i="1"/>
  <c r="C7327" i="1"/>
  <c r="C7326" i="1"/>
  <c r="C7325" i="1"/>
  <c r="C7324" i="1"/>
  <c r="C7323" i="1"/>
  <c r="C7322" i="1"/>
  <c r="C7321" i="1"/>
  <c r="C7320" i="1"/>
  <c r="C7319" i="1"/>
  <c r="C7318" i="1"/>
  <c r="C7317" i="1"/>
  <c r="C7316" i="1"/>
  <c r="C7315" i="1"/>
  <c r="C7314" i="1"/>
  <c r="C7313" i="1"/>
  <c r="C7312" i="1"/>
  <c r="C7311" i="1"/>
  <c r="C7310" i="1"/>
  <c r="C7309" i="1"/>
  <c r="C7308" i="1"/>
  <c r="C7307" i="1"/>
  <c r="C7306" i="1"/>
  <c r="C7305" i="1"/>
  <c r="C7304" i="1"/>
  <c r="C7303" i="1"/>
  <c r="C7302" i="1"/>
  <c r="C7301" i="1"/>
  <c r="C7300" i="1"/>
  <c r="C7299" i="1"/>
  <c r="C7298" i="1"/>
  <c r="C7297" i="1"/>
  <c r="C7296" i="1"/>
  <c r="C7295" i="1"/>
  <c r="C7294" i="1"/>
  <c r="C7293" i="1"/>
  <c r="C7292" i="1"/>
  <c r="C7291" i="1"/>
  <c r="C7290" i="1"/>
  <c r="C7289" i="1"/>
  <c r="C7288" i="1"/>
  <c r="C7287" i="1"/>
  <c r="C7286" i="1"/>
  <c r="C7285" i="1"/>
  <c r="C7284" i="1"/>
  <c r="C7283" i="1"/>
  <c r="C7282" i="1"/>
  <c r="C7281" i="1"/>
  <c r="C7280" i="1"/>
  <c r="C7279" i="1"/>
  <c r="C7278" i="1"/>
  <c r="C7277" i="1"/>
  <c r="C7276" i="1"/>
  <c r="C7275" i="1"/>
  <c r="C7274" i="1"/>
  <c r="C7273" i="1"/>
  <c r="C7272" i="1"/>
  <c r="C7271" i="1"/>
  <c r="C7270" i="1"/>
  <c r="C7269" i="1"/>
  <c r="C7268" i="1"/>
  <c r="C7267" i="1"/>
  <c r="C7266" i="1"/>
  <c r="C7265" i="1"/>
  <c r="C7264" i="1"/>
  <c r="C7263" i="1"/>
  <c r="C7262" i="1"/>
  <c r="C7261" i="1"/>
  <c r="C7260" i="1"/>
  <c r="C7259" i="1"/>
  <c r="C7258" i="1"/>
  <c r="C7257" i="1"/>
  <c r="C7256" i="1"/>
  <c r="C7255" i="1"/>
  <c r="C7254" i="1"/>
  <c r="C7253" i="1"/>
  <c r="C7252" i="1"/>
  <c r="C7251" i="1"/>
  <c r="C7250" i="1"/>
  <c r="C7249" i="1"/>
  <c r="C7248" i="1"/>
  <c r="C7247" i="1"/>
  <c r="C7246" i="1"/>
  <c r="C7245" i="1"/>
  <c r="C7244" i="1"/>
  <c r="C7243" i="1"/>
  <c r="C7242" i="1"/>
  <c r="C7241" i="1"/>
  <c r="C7240" i="1"/>
  <c r="C7239" i="1"/>
  <c r="C7238" i="1"/>
  <c r="C7237" i="1"/>
  <c r="C7236" i="1"/>
  <c r="C7235" i="1"/>
  <c r="C7234" i="1"/>
  <c r="C7233" i="1"/>
  <c r="C7232" i="1"/>
  <c r="C7231" i="1"/>
  <c r="C7230" i="1"/>
  <c r="C7229" i="1"/>
  <c r="C7228" i="1"/>
  <c r="C7227" i="1"/>
  <c r="C7226" i="1"/>
  <c r="C7225" i="1"/>
  <c r="C7224" i="1"/>
  <c r="C7223" i="1"/>
  <c r="C7222" i="1"/>
  <c r="C7221" i="1"/>
  <c r="C7220" i="1"/>
  <c r="C7219" i="1"/>
  <c r="C7218" i="1"/>
  <c r="C7217" i="1"/>
  <c r="C7216" i="1"/>
  <c r="C7215" i="1"/>
  <c r="C7214" i="1"/>
  <c r="C7213" i="1"/>
  <c r="C7212" i="1"/>
  <c r="C7211" i="1"/>
  <c r="C7210" i="1"/>
  <c r="C7209" i="1"/>
  <c r="C7208" i="1"/>
  <c r="C7207" i="1"/>
  <c r="C7206" i="1"/>
  <c r="C7205" i="1"/>
  <c r="C7204" i="1"/>
  <c r="C7203" i="1"/>
  <c r="C7202" i="1"/>
  <c r="C7201" i="1"/>
  <c r="C7200" i="1"/>
  <c r="C7199" i="1"/>
  <c r="C7198" i="1"/>
  <c r="C7197" i="1"/>
  <c r="C7196" i="1"/>
  <c r="C7195" i="1"/>
  <c r="C7194" i="1"/>
  <c r="C7193" i="1"/>
  <c r="C7192" i="1"/>
  <c r="C7191" i="1"/>
  <c r="C7190" i="1"/>
  <c r="C7189" i="1"/>
  <c r="C7188" i="1"/>
  <c r="C7187" i="1"/>
  <c r="C7186" i="1"/>
  <c r="C7185" i="1"/>
  <c r="C7184" i="1"/>
  <c r="C7183" i="1"/>
  <c r="C7182" i="1"/>
  <c r="C7181" i="1"/>
  <c r="C7180" i="1"/>
  <c r="C7179" i="1"/>
  <c r="C7178" i="1"/>
  <c r="C7177" i="1"/>
  <c r="C7176" i="1"/>
  <c r="C7175" i="1"/>
  <c r="C7174" i="1"/>
  <c r="C7173" i="1"/>
  <c r="C7172" i="1"/>
  <c r="C7171" i="1"/>
  <c r="C7170" i="1"/>
  <c r="C7169" i="1"/>
  <c r="C7168" i="1"/>
  <c r="C7167" i="1"/>
  <c r="C7166" i="1"/>
  <c r="C7165" i="1"/>
  <c r="C7164" i="1"/>
  <c r="C7163" i="1"/>
  <c r="C7162" i="1"/>
  <c r="C7161" i="1"/>
  <c r="C7160" i="1"/>
  <c r="C7159" i="1"/>
  <c r="C7158" i="1"/>
  <c r="C7157" i="1"/>
  <c r="C7156" i="1"/>
  <c r="C7155" i="1"/>
  <c r="C7154" i="1"/>
  <c r="C7153" i="1"/>
  <c r="C7152" i="1"/>
  <c r="C7151" i="1"/>
  <c r="C7150" i="1"/>
  <c r="C7149" i="1"/>
  <c r="C7148" i="1"/>
  <c r="C7147" i="1"/>
  <c r="C7146" i="1"/>
  <c r="C7145" i="1"/>
  <c r="C7144" i="1"/>
  <c r="C7143" i="1"/>
  <c r="C7142" i="1"/>
  <c r="C7141" i="1"/>
  <c r="C7140" i="1"/>
  <c r="C7139" i="1"/>
  <c r="C7138" i="1"/>
  <c r="C7137" i="1"/>
  <c r="C7136" i="1"/>
  <c r="C7135" i="1"/>
  <c r="C7134" i="1"/>
  <c r="C7133" i="1"/>
  <c r="C7132" i="1"/>
  <c r="C7131" i="1"/>
  <c r="C7130" i="1"/>
  <c r="C7129" i="1"/>
  <c r="C7128" i="1"/>
  <c r="C7127" i="1"/>
  <c r="C7126" i="1"/>
  <c r="C7125" i="1"/>
  <c r="C7124" i="1"/>
  <c r="C7123" i="1"/>
  <c r="C7122" i="1"/>
  <c r="C7121" i="1"/>
  <c r="C7120" i="1"/>
  <c r="C7119" i="1"/>
  <c r="C7118" i="1"/>
  <c r="C7117" i="1"/>
  <c r="C7116" i="1"/>
  <c r="C7115" i="1"/>
  <c r="C7114" i="1"/>
  <c r="C7113" i="1"/>
  <c r="C7112" i="1"/>
  <c r="C7111" i="1"/>
  <c r="C7110" i="1"/>
  <c r="C7109" i="1"/>
  <c r="C7108" i="1"/>
  <c r="C7107" i="1"/>
  <c r="C7106" i="1"/>
  <c r="C7105" i="1"/>
  <c r="C7104" i="1"/>
  <c r="C7103" i="1"/>
  <c r="C7102" i="1"/>
  <c r="C7101" i="1"/>
  <c r="C7100" i="1"/>
  <c r="C7099" i="1"/>
  <c r="C7098" i="1"/>
  <c r="C7097" i="1"/>
  <c r="C7096" i="1"/>
  <c r="C7095" i="1"/>
  <c r="C7094" i="1"/>
  <c r="C7093" i="1"/>
  <c r="C7092" i="1"/>
  <c r="C7091" i="1"/>
  <c r="C7090" i="1"/>
  <c r="C7089" i="1"/>
  <c r="C7088" i="1"/>
  <c r="C7087" i="1"/>
  <c r="C7086" i="1"/>
  <c r="C7085" i="1"/>
  <c r="C7084" i="1"/>
  <c r="C7083" i="1"/>
  <c r="C7082" i="1"/>
  <c r="C7081" i="1"/>
  <c r="C7080" i="1"/>
  <c r="C7079" i="1"/>
  <c r="C7078" i="1"/>
  <c r="C7077" i="1"/>
  <c r="C7076" i="1"/>
  <c r="C7075" i="1"/>
  <c r="C7074" i="1"/>
  <c r="C7073" i="1"/>
  <c r="C7072" i="1"/>
  <c r="C7071" i="1"/>
  <c r="C7070" i="1"/>
  <c r="C7069" i="1"/>
  <c r="C7068" i="1"/>
  <c r="C7067" i="1"/>
  <c r="C7066" i="1"/>
  <c r="C7065" i="1"/>
  <c r="C7064" i="1"/>
  <c r="C7063" i="1"/>
  <c r="C7062" i="1"/>
  <c r="C7061" i="1"/>
  <c r="C7060" i="1"/>
  <c r="C7059" i="1"/>
  <c r="C7058" i="1"/>
  <c r="C7057" i="1"/>
  <c r="C7056" i="1"/>
  <c r="C7055" i="1"/>
  <c r="C7054" i="1"/>
  <c r="C7053" i="1"/>
  <c r="C7052" i="1"/>
  <c r="C7051" i="1"/>
  <c r="C7050" i="1"/>
  <c r="C7049" i="1"/>
  <c r="C7048" i="1"/>
  <c r="C7047" i="1"/>
  <c r="C7046" i="1"/>
  <c r="C7045" i="1"/>
  <c r="C7044" i="1"/>
  <c r="C7043" i="1"/>
  <c r="C7042" i="1"/>
  <c r="C7041" i="1"/>
  <c r="C7040" i="1"/>
  <c r="C7039" i="1"/>
  <c r="C7038" i="1"/>
  <c r="C7037" i="1"/>
  <c r="C7036" i="1"/>
  <c r="C7035" i="1"/>
  <c r="C7034" i="1"/>
  <c r="C7033" i="1"/>
  <c r="C7032" i="1"/>
  <c r="C7031" i="1"/>
  <c r="C7030" i="1"/>
  <c r="C7029" i="1"/>
  <c r="C7028" i="1"/>
  <c r="C7027" i="1"/>
  <c r="C7026" i="1"/>
  <c r="C7025" i="1"/>
  <c r="C7024" i="1"/>
  <c r="C7023" i="1"/>
  <c r="C7022" i="1"/>
  <c r="C7021" i="1"/>
  <c r="C7020" i="1"/>
  <c r="C7019" i="1"/>
  <c r="C7018" i="1"/>
  <c r="C7017" i="1"/>
  <c r="C7016" i="1"/>
  <c r="C7015" i="1"/>
  <c r="C7014" i="1"/>
  <c r="C7013" i="1"/>
  <c r="C7012" i="1"/>
  <c r="C7011" i="1"/>
  <c r="C7010" i="1"/>
  <c r="C7009" i="1"/>
  <c r="C7008" i="1"/>
  <c r="C7007" i="1"/>
  <c r="C7006" i="1"/>
  <c r="C7005" i="1"/>
  <c r="C7004" i="1"/>
  <c r="C7003" i="1"/>
  <c r="C7002" i="1"/>
  <c r="C7001" i="1"/>
  <c r="C7000" i="1"/>
  <c r="C6999" i="1"/>
  <c r="C6998" i="1"/>
  <c r="C6997" i="1"/>
  <c r="C6996" i="1"/>
  <c r="C6995" i="1"/>
  <c r="C6994" i="1"/>
  <c r="C6993" i="1"/>
  <c r="C6992" i="1"/>
  <c r="C6991" i="1"/>
  <c r="C6990" i="1"/>
  <c r="C6989" i="1"/>
  <c r="C6988" i="1"/>
  <c r="C6987" i="1"/>
  <c r="C6986" i="1"/>
  <c r="C6985" i="1"/>
  <c r="C6984" i="1"/>
  <c r="C6983" i="1"/>
  <c r="C6982" i="1"/>
  <c r="C6981" i="1"/>
  <c r="C6980" i="1"/>
  <c r="C6979" i="1"/>
  <c r="C6978" i="1"/>
  <c r="C6977" i="1"/>
  <c r="C6976" i="1"/>
  <c r="C6975" i="1"/>
  <c r="C6974" i="1"/>
  <c r="C6973" i="1"/>
  <c r="C6972" i="1"/>
  <c r="C6971" i="1"/>
  <c r="C6970" i="1"/>
  <c r="C6969" i="1"/>
  <c r="C6968" i="1"/>
  <c r="C6967" i="1"/>
  <c r="C6966" i="1"/>
  <c r="C6965" i="1"/>
  <c r="C6964" i="1"/>
  <c r="C6963" i="1"/>
  <c r="C6962" i="1"/>
  <c r="C6961" i="1"/>
  <c r="C6960" i="1"/>
  <c r="C6959" i="1"/>
  <c r="C6958" i="1"/>
  <c r="C6957" i="1"/>
  <c r="C6956" i="1"/>
  <c r="C6955" i="1"/>
  <c r="C6954" i="1"/>
  <c r="C6953" i="1"/>
  <c r="C6952" i="1"/>
  <c r="C6951" i="1"/>
  <c r="C6950" i="1"/>
  <c r="C6949" i="1"/>
  <c r="C6948" i="1"/>
  <c r="C6947" i="1"/>
  <c r="C6946" i="1"/>
  <c r="C6945" i="1"/>
  <c r="C6944" i="1"/>
  <c r="C6943" i="1"/>
  <c r="C6942" i="1"/>
  <c r="C6941" i="1"/>
  <c r="C6940" i="1"/>
  <c r="C6939" i="1"/>
  <c r="C6938" i="1"/>
  <c r="C6937" i="1"/>
  <c r="C6936" i="1"/>
  <c r="C6935" i="1"/>
  <c r="C6934" i="1"/>
  <c r="C6933" i="1"/>
  <c r="C6932" i="1"/>
  <c r="C6931" i="1"/>
  <c r="C6930" i="1"/>
  <c r="C6929" i="1"/>
  <c r="C6928" i="1"/>
  <c r="C6927" i="1"/>
  <c r="C6926" i="1"/>
  <c r="C6925" i="1"/>
  <c r="C6924" i="1"/>
  <c r="C6923" i="1"/>
  <c r="C6922" i="1"/>
  <c r="C6921" i="1"/>
  <c r="C6920" i="1"/>
  <c r="C6919" i="1"/>
  <c r="C6918" i="1"/>
  <c r="C6917" i="1"/>
  <c r="C6916" i="1"/>
  <c r="C6915" i="1"/>
  <c r="C6914" i="1"/>
  <c r="C6913" i="1"/>
  <c r="C6912" i="1"/>
  <c r="C6911" i="1"/>
  <c r="C6910" i="1"/>
  <c r="C6909" i="1"/>
  <c r="C6908" i="1"/>
  <c r="C6907" i="1"/>
  <c r="C6906" i="1"/>
  <c r="C6905" i="1"/>
  <c r="C6904" i="1"/>
  <c r="C6903" i="1"/>
  <c r="C6902" i="1"/>
  <c r="C6901" i="1"/>
  <c r="C6900" i="1"/>
  <c r="C6899" i="1"/>
  <c r="C6898" i="1"/>
  <c r="C6897" i="1"/>
  <c r="C6896" i="1"/>
  <c r="C6895" i="1"/>
  <c r="C6894" i="1"/>
  <c r="C6893" i="1"/>
  <c r="C6892" i="1"/>
  <c r="C6891" i="1"/>
  <c r="C6890" i="1"/>
  <c r="C6889" i="1"/>
  <c r="C6888" i="1"/>
  <c r="C6887" i="1"/>
  <c r="C6886" i="1"/>
  <c r="C6885" i="1"/>
  <c r="C6884" i="1"/>
  <c r="C6883" i="1"/>
  <c r="C6882" i="1"/>
  <c r="C6881" i="1"/>
  <c r="C6880" i="1"/>
  <c r="C6879" i="1"/>
  <c r="C6878" i="1"/>
  <c r="C6877" i="1"/>
  <c r="C6876" i="1"/>
  <c r="C6875" i="1"/>
  <c r="C6874" i="1"/>
  <c r="C6873" i="1"/>
  <c r="C6872" i="1"/>
  <c r="C6871" i="1"/>
  <c r="C6870" i="1"/>
  <c r="C6869" i="1"/>
  <c r="C6868" i="1"/>
  <c r="C6867" i="1"/>
  <c r="C6866" i="1"/>
  <c r="C6865" i="1"/>
  <c r="C6864" i="1"/>
  <c r="C6863" i="1"/>
  <c r="C6862" i="1"/>
  <c r="C6861" i="1"/>
  <c r="C6860" i="1"/>
  <c r="C6859" i="1"/>
  <c r="C6858" i="1"/>
  <c r="C6857" i="1"/>
  <c r="C6856" i="1"/>
  <c r="C6855" i="1"/>
  <c r="C6854" i="1"/>
  <c r="C6853" i="1"/>
  <c r="C6852" i="1"/>
  <c r="C6851" i="1"/>
  <c r="C6850" i="1"/>
  <c r="C6849" i="1"/>
  <c r="C6848" i="1"/>
  <c r="C6847" i="1"/>
  <c r="C6846" i="1"/>
  <c r="C6845" i="1"/>
  <c r="C6844" i="1"/>
  <c r="C6843" i="1"/>
  <c r="C6842" i="1"/>
  <c r="C6841" i="1"/>
  <c r="C6840" i="1"/>
  <c r="C6839" i="1"/>
  <c r="C6838" i="1"/>
  <c r="C6837" i="1"/>
  <c r="C6836" i="1"/>
  <c r="C6835" i="1"/>
  <c r="C6834" i="1"/>
  <c r="C6833" i="1"/>
  <c r="C6832" i="1"/>
  <c r="C6831" i="1"/>
  <c r="C6830" i="1"/>
  <c r="C6829" i="1"/>
  <c r="C6828" i="1"/>
  <c r="C6827" i="1"/>
  <c r="C6826" i="1"/>
  <c r="C6825" i="1"/>
  <c r="C6824" i="1"/>
  <c r="C6823" i="1"/>
  <c r="C6822" i="1"/>
  <c r="C6821" i="1"/>
  <c r="C6820" i="1"/>
  <c r="C6819" i="1"/>
  <c r="C6818" i="1"/>
  <c r="C6817" i="1"/>
  <c r="C6816" i="1"/>
  <c r="C6815" i="1"/>
  <c r="C6814" i="1"/>
  <c r="C6813" i="1"/>
  <c r="C6812" i="1"/>
  <c r="C6811" i="1"/>
  <c r="C6810" i="1"/>
  <c r="C6809" i="1"/>
  <c r="C6808" i="1"/>
  <c r="C6807" i="1"/>
  <c r="C6806" i="1"/>
  <c r="C6805" i="1"/>
  <c r="C6804" i="1"/>
  <c r="C6803" i="1"/>
  <c r="C6802" i="1"/>
  <c r="C6801" i="1"/>
  <c r="C6800" i="1"/>
  <c r="C6799" i="1"/>
  <c r="C6798" i="1"/>
  <c r="C6797" i="1"/>
  <c r="C6796" i="1"/>
  <c r="C6795" i="1"/>
  <c r="C6794" i="1"/>
  <c r="C6793" i="1"/>
  <c r="C6792" i="1"/>
  <c r="C6791" i="1"/>
  <c r="C6790" i="1"/>
  <c r="C6789" i="1"/>
  <c r="C6788" i="1"/>
  <c r="C6787" i="1"/>
  <c r="C6786" i="1"/>
  <c r="C6785" i="1"/>
  <c r="C6784" i="1"/>
  <c r="C6783" i="1"/>
  <c r="C6782" i="1"/>
  <c r="C6781" i="1"/>
  <c r="C6780" i="1"/>
  <c r="C6779" i="1"/>
  <c r="C6778" i="1"/>
  <c r="C6777" i="1"/>
  <c r="C6776" i="1"/>
  <c r="C6775" i="1"/>
  <c r="C6774" i="1"/>
  <c r="C6773" i="1"/>
  <c r="C6772" i="1"/>
  <c r="C6771" i="1"/>
  <c r="C6770" i="1"/>
  <c r="C6769" i="1"/>
  <c r="C6768" i="1"/>
  <c r="C6767" i="1"/>
  <c r="C6766" i="1"/>
  <c r="C6765" i="1"/>
  <c r="C6764" i="1"/>
  <c r="C6763" i="1"/>
  <c r="C6762" i="1"/>
  <c r="C6761" i="1"/>
  <c r="C6760" i="1"/>
  <c r="C6759" i="1"/>
  <c r="C6758" i="1"/>
  <c r="C6757" i="1"/>
  <c r="C6756" i="1"/>
  <c r="C6755" i="1"/>
  <c r="C6754" i="1"/>
  <c r="C6753" i="1"/>
  <c r="C6752" i="1"/>
  <c r="C6751" i="1"/>
  <c r="C6750" i="1"/>
  <c r="C6749" i="1"/>
  <c r="C6748" i="1"/>
  <c r="C6747" i="1"/>
  <c r="C6746" i="1"/>
  <c r="C6745" i="1"/>
  <c r="C6744" i="1"/>
  <c r="C6743" i="1"/>
  <c r="C6742" i="1"/>
  <c r="C6741" i="1"/>
  <c r="C6740" i="1"/>
  <c r="C6739" i="1"/>
  <c r="C6738" i="1"/>
  <c r="C6737" i="1"/>
  <c r="C6736" i="1"/>
  <c r="C6735" i="1"/>
  <c r="C6734" i="1"/>
  <c r="C6733" i="1"/>
  <c r="C6732" i="1"/>
  <c r="C6731" i="1"/>
  <c r="C6730" i="1"/>
  <c r="C6729" i="1"/>
  <c r="C6728" i="1"/>
  <c r="C6727" i="1"/>
  <c r="C6726" i="1"/>
  <c r="C6725" i="1"/>
  <c r="C6724" i="1"/>
  <c r="C6723" i="1"/>
  <c r="C6722" i="1"/>
  <c r="C6721" i="1"/>
  <c r="C6720" i="1"/>
  <c r="C6719" i="1"/>
  <c r="C6718" i="1"/>
  <c r="C6717" i="1"/>
  <c r="C6716" i="1"/>
  <c r="C6715" i="1"/>
  <c r="C6714" i="1"/>
  <c r="C6713" i="1"/>
  <c r="C6712" i="1"/>
  <c r="C6711" i="1"/>
  <c r="C6710" i="1"/>
  <c r="C6709" i="1"/>
  <c r="C6708" i="1"/>
  <c r="C6707" i="1"/>
  <c r="C6706" i="1"/>
  <c r="C6705" i="1"/>
  <c r="C6704" i="1"/>
  <c r="C6703" i="1"/>
  <c r="C6702" i="1"/>
  <c r="C6701" i="1"/>
  <c r="C6700" i="1"/>
  <c r="C6699" i="1"/>
  <c r="C6698" i="1"/>
  <c r="C6697" i="1"/>
  <c r="C6696" i="1"/>
  <c r="C6695" i="1"/>
  <c r="C6694" i="1"/>
  <c r="C6693" i="1"/>
  <c r="C6692" i="1"/>
  <c r="C6691" i="1"/>
  <c r="C6690" i="1"/>
  <c r="C6689" i="1"/>
  <c r="C6688" i="1"/>
  <c r="C6687" i="1"/>
  <c r="C6686" i="1"/>
  <c r="C6685" i="1"/>
  <c r="C6684" i="1"/>
  <c r="C6683" i="1"/>
  <c r="C6682" i="1"/>
  <c r="C6681" i="1"/>
  <c r="C6680" i="1"/>
  <c r="C6679" i="1"/>
  <c r="C6678" i="1"/>
  <c r="C6677" i="1"/>
  <c r="C6676" i="1"/>
  <c r="C6675" i="1"/>
  <c r="C6674" i="1"/>
  <c r="C6673" i="1"/>
  <c r="C6672" i="1"/>
  <c r="C6671" i="1"/>
  <c r="C6670" i="1"/>
  <c r="C6669" i="1"/>
  <c r="C6668" i="1"/>
  <c r="C6667" i="1"/>
  <c r="C6666" i="1"/>
  <c r="C6665" i="1"/>
  <c r="C6664" i="1"/>
  <c r="C6663" i="1"/>
  <c r="C6662" i="1"/>
  <c r="C6661" i="1"/>
  <c r="C6660" i="1"/>
  <c r="C6659" i="1"/>
  <c r="C6658" i="1"/>
  <c r="C6657" i="1"/>
  <c r="C6656" i="1"/>
  <c r="C6655" i="1"/>
  <c r="C6654" i="1"/>
  <c r="C6653" i="1"/>
  <c r="C6652" i="1"/>
  <c r="C6651" i="1"/>
  <c r="C6650" i="1"/>
  <c r="C6649" i="1"/>
  <c r="C6648" i="1"/>
  <c r="C6647" i="1"/>
  <c r="C6646" i="1"/>
  <c r="C6645" i="1"/>
  <c r="C6644" i="1"/>
  <c r="C6643" i="1"/>
  <c r="C6642" i="1"/>
  <c r="C6641" i="1"/>
  <c r="C6640" i="1"/>
  <c r="C6639" i="1"/>
  <c r="C6638" i="1"/>
  <c r="C6637" i="1"/>
  <c r="C6636" i="1"/>
  <c r="C6635" i="1"/>
  <c r="C6634" i="1"/>
  <c r="C6633" i="1"/>
  <c r="C6632" i="1"/>
  <c r="C6631" i="1"/>
  <c r="C6630" i="1"/>
  <c r="C6629" i="1"/>
  <c r="C6628" i="1"/>
  <c r="C6627" i="1"/>
  <c r="C6626" i="1"/>
  <c r="C6625" i="1"/>
  <c r="C6624" i="1"/>
  <c r="C6623" i="1"/>
  <c r="C6622" i="1"/>
  <c r="C6621" i="1"/>
  <c r="C6620" i="1"/>
  <c r="C6619" i="1"/>
  <c r="C6618" i="1"/>
  <c r="C6617" i="1"/>
  <c r="C6616" i="1"/>
  <c r="C6615" i="1"/>
  <c r="C6614" i="1"/>
  <c r="C6613" i="1"/>
  <c r="C6612" i="1"/>
  <c r="C6611" i="1"/>
  <c r="C6610" i="1"/>
  <c r="C6609" i="1"/>
  <c r="C6608" i="1"/>
  <c r="C6607" i="1"/>
  <c r="C6606" i="1"/>
  <c r="C6605" i="1"/>
  <c r="C6604" i="1"/>
  <c r="C6603" i="1"/>
  <c r="C6602" i="1"/>
  <c r="C6601" i="1"/>
  <c r="C6600" i="1"/>
  <c r="C6599" i="1"/>
  <c r="C6598" i="1"/>
  <c r="C6597" i="1"/>
  <c r="C6596" i="1"/>
  <c r="C6595" i="1"/>
  <c r="C6594" i="1"/>
  <c r="C6593" i="1"/>
  <c r="C6592" i="1"/>
  <c r="C6591" i="1"/>
  <c r="C6590" i="1"/>
  <c r="C6589" i="1"/>
  <c r="C6588" i="1"/>
  <c r="C6587" i="1"/>
  <c r="C6586" i="1"/>
  <c r="C6585" i="1"/>
  <c r="C6584" i="1"/>
  <c r="C6583" i="1"/>
  <c r="C6582" i="1"/>
  <c r="C6581" i="1"/>
  <c r="C6580" i="1"/>
  <c r="C6579" i="1"/>
  <c r="C6578" i="1"/>
  <c r="C6577" i="1"/>
  <c r="C6576" i="1"/>
  <c r="C6575" i="1"/>
  <c r="C6574" i="1"/>
  <c r="C6573" i="1"/>
  <c r="C6572" i="1"/>
  <c r="C6571" i="1"/>
  <c r="C6570" i="1"/>
  <c r="C6569" i="1"/>
  <c r="C6568" i="1"/>
  <c r="C6567" i="1"/>
  <c r="C6566" i="1"/>
  <c r="C6565" i="1"/>
  <c r="C6564" i="1"/>
  <c r="C6563" i="1"/>
  <c r="C6562" i="1"/>
  <c r="C6561" i="1"/>
  <c r="C6560" i="1"/>
  <c r="C6559" i="1"/>
  <c r="C6558" i="1"/>
  <c r="C6557" i="1"/>
  <c r="C6556" i="1"/>
  <c r="C6555" i="1"/>
  <c r="C6554" i="1"/>
  <c r="C6553" i="1"/>
  <c r="C6552" i="1"/>
  <c r="C6551" i="1"/>
  <c r="C6550" i="1"/>
  <c r="C6549" i="1"/>
  <c r="C6548" i="1"/>
  <c r="C6547" i="1"/>
  <c r="C6546" i="1"/>
  <c r="C6545" i="1"/>
  <c r="C6544" i="1"/>
  <c r="C6543" i="1"/>
  <c r="C6542" i="1"/>
  <c r="C6541" i="1"/>
  <c r="C6540" i="1"/>
  <c r="C6539" i="1"/>
  <c r="C6538" i="1"/>
  <c r="C6537" i="1"/>
  <c r="C6536" i="1"/>
  <c r="C6535" i="1"/>
  <c r="C6534" i="1"/>
  <c r="C6533" i="1"/>
  <c r="C6532" i="1"/>
  <c r="C6531" i="1"/>
  <c r="C6530" i="1"/>
  <c r="C6529" i="1"/>
  <c r="C6528" i="1"/>
  <c r="C6527" i="1"/>
  <c r="C6526" i="1"/>
  <c r="C6525" i="1"/>
  <c r="C6524" i="1"/>
  <c r="C6523" i="1"/>
  <c r="C6522" i="1"/>
  <c r="C6521" i="1"/>
  <c r="C6520" i="1"/>
  <c r="C6519" i="1"/>
  <c r="C6518" i="1"/>
  <c r="C6517" i="1"/>
  <c r="C6516" i="1"/>
  <c r="C6515" i="1"/>
  <c r="C6514" i="1"/>
  <c r="C6513" i="1"/>
  <c r="C6512" i="1"/>
  <c r="C6511" i="1"/>
  <c r="C6510" i="1"/>
  <c r="C6509" i="1"/>
  <c r="C6508" i="1"/>
  <c r="C6507" i="1"/>
  <c r="C6506" i="1"/>
  <c r="C6505" i="1"/>
  <c r="C6504" i="1"/>
  <c r="C6503" i="1"/>
  <c r="C6502" i="1"/>
  <c r="C6501" i="1"/>
  <c r="C6500" i="1"/>
  <c r="C6499" i="1"/>
  <c r="C6498" i="1"/>
  <c r="C6497" i="1"/>
  <c r="C6496" i="1"/>
  <c r="C6495" i="1"/>
  <c r="C6494" i="1"/>
  <c r="C6493" i="1"/>
  <c r="C6492" i="1"/>
  <c r="C6491" i="1"/>
  <c r="C6490" i="1"/>
  <c r="C6489" i="1"/>
  <c r="C6488" i="1"/>
  <c r="C6487" i="1"/>
  <c r="C6486" i="1"/>
  <c r="C6485" i="1"/>
  <c r="C6484" i="1"/>
  <c r="C6483" i="1"/>
  <c r="C6482" i="1"/>
  <c r="C6481" i="1"/>
  <c r="C6480" i="1"/>
  <c r="C6479" i="1"/>
  <c r="C6478" i="1"/>
  <c r="C6477" i="1"/>
  <c r="C6476" i="1"/>
  <c r="C6475" i="1"/>
  <c r="C6474" i="1"/>
  <c r="C6473" i="1"/>
  <c r="C6472" i="1"/>
  <c r="C6471" i="1"/>
  <c r="C6470" i="1"/>
  <c r="C6469" i="1"/>
  <c r="C6468" i="1"/>
  <c r="C6467" i="1"/>
  <c r="C6466" i="1"/>
  <c r="C6465" i="1"/>
  <c r="C6464" i="1"/>
  <c r="C6463" i="1"/>
  <c r="C6462" i="1"/>
  <c r="C6461" i="1"/>
  <c r="C6460" i="1"/>
  <c r="C6459" i="1"/>
  <c r="C6458" i="1"/>
  <c r="C6457" i="1"/>
  <c r="C6456" i="1"/>
  <c r="C6455" i="1"/>
  <c r="C6454" i="1"/>
  <c r="C6453" i="1"/>
  <c r="C6452" i="1"/>
  <c r="C6451" i="1"/>
  <c r="C6450" i="1"/>
  <c r="C6449" i="1"/>
  <c r="C6448" i="1"/>
  <c r="C6447" i="1"/>
  <c r="C6446" i="1"/>
  <c r="C6445" i="1"/>
  <c r="C6444" i="1"/>
  <c r="C6443" i="1"/>
  <c r="C6442" i="1"/>
  <c r="C6441" i="1"/>
  <c r="C6440" i="1"/>
  <c r="C6439" i="1"/>
  <c r="C6438" i="1"/>
  <c r="C6437" i="1"/>
  <c r="C6436" i="1"/>
  <c r="C6435" i="1"/>
  <c r="C6434" i="1"/>
  <c r="C6433" i="1"/>
  <c r="C6432" i="1"/>
  <c r="C6431" i="1"/>
  <c r="C6430" i="1"/>
  <c r="C6429" i="1"/>
  <c r="C6428" i="1"/>
  <c r="C6427" i="1"/>
  <c r="C6426" i="1"/>
  <c r="C6425" i="1"/>
  <c r="C6424" i="1"/>
  <c r="C6423" i="1"/>
  <c r="C6422" i="1"/>
  <c r="C6421" i="1"/>
  <c r="C6420" i="1"/>
  <c r="C6419" i="1"/>
  <c r="C6418" i="1"/>
  <c r="C6417" i="1"/>
  <c r="C6416" i="1"/>
  <c r="C6415" i="1"/>
  <c r="C6414" i="1"/>
  <c r="C6413" i="1"/>
  <c r="C6412" i="1"/>
  <c r="C6411" i="1"/>
  <c r="C6410" i="1"/>
  <c r="C6409" i="1"/>
  <c r="C6408" i="1"/>
  <c r="C6407" i="1"/>
  <c r="C6406" i="1"/>
  <c r="C6405" i="1"/>
  <c r="C6404" i="1"/>
  <c r="C6403" i="1"/>
  <c r="C6402" i="1"/>
  <c r="C6401" i="1"/>
  <c r="C6400" i="1"/>
  <c r="C6399" i="1"/>
  <c r="C6398" i="1"/>
  <c r="C6397" i="1"/>
  <c r="C6396" i="1"/>
  <c r="C6395" i="1"/>
  <c r="C6394" i="1"/>
  <c r="C6393" i="1"/>
  <c r="C6392" i="1"/>
  <c r="C6391" i="1"/>
  <c r="C6390" i="1"/>
  <c r="C6389" i="1"/>
  <c r="C6388" i="1"/>
  <c r="C6387" i="1"/>
  <c r="C6386" i="1"/>
  <c r="C6385" i="1"/>
  <c r="C6384" i="1"/>
  <c r="C6383" i="1"/>
  <c r="C6382" i="1"/>
  <c r="C6381" i="1"/>
  <c r="C6380" i="1"/>
  <c r="C6379" i="1"/>
  <c r="C6378" i="1"/>
  <c r="C6377" i="1"/>
  <c r="C6376" i="1"/>
  <c r="C6375" i="1"/>
  <c r="C6374" i="1"/>
  <c r="C6373" i="1"/>
  <c r="C6372" i="1"/>
  <c r="C6371" i="1"/>
  <c r="C6370" i="1"/>
  <c r="C6369" i="1"/>
  <c r="C6368" i="1"/>
  <c r="C6367" i="1"/>
  <c r="C6366" i="1"/>
  <c r="C6365" i="1"/>
  <c r="C6364" i="1"/>
  <c r="C6363" i="1"/>
  <c r="C6362" i="1"/>
  <c r="C6361" i="1"/>
  <c r="C6360" i="1"/>
  <c r="C6359" i="1"/>
  <c r="C6358" i="1"/>
  <c r="C6357" i="1"/>
  <c r="C6356" i="1"/>
  <c r="C6355" i="1"/>
  <c r="C6354" i="1"/>
  <c r="C6353" i="1"/>
  <c r="C6352" i="1"/>
  <c r="C6351" i="1"/>
  <c r="C6350" i="1"/>
  <c r="C6349" i="1"/>
  <c r="C6348" i="1"/>
  <c r="C6347" i="1"/>
  <c r="C6346" i="1"/>
  <c r="C6345" i="1"/>
  <c r="C6344" i="1"/>
  <c r="C6343" i="1"/>
  <c r="C6342" i="1"/>
  <c r="C6341" i="1"/>
  <c r="C6340" i="1"/>
  <c r="C6339" i="1"/>
  <c r="C6338" i="1"/>
  <c r="C6337" i="1"/>
  <c r="C6336" i="1"/>
  <c r="C6335" i="1"/>
  <c r="C6334" i="1"/>
  <c r="C6333" i="1"/>
  <c r="C6332" i="1"/>
  <c r="C6331" i="1"/>
  <c r="C6330" i="1"/>
  <c r="C6329" i="1"/>
  <c r="C6328" i="1"/>
  <c r="C6327" i="1"/>
  <c r="C6326" i="1"/>
  <c r="C6325" i="1"/>
  <c r="C6324" i="1"/>
  <c r="C6323" i="1"/>
  <c r="C6322" i="1"/>
  <c r="C6321" i="1"/>
  <c r="C6320" i="1"/>
  <c r="C6319" i="1"/>
  <c r="C6318" i="1"/>
  <c r="C6317" i="1"/>
  <c r="C6316" i="1"/>
  <c r="C6315" i="1"/>
  <c r="C6314" i="1"/>
  <c r="C6313" i="1"/>
  <c r="C6312" i="1"/>
  <c r="C6311" i="1"/>
  <c r="C6310" i="1"/>
  <c r="C6309" i="1"/>
  <c r="C6308" i="1"/>
  <c r="C6307" i="1"/>
  <c r="C6306" i="1"/>
  <c r="C6305" i="1"/>
  <c r="C6304" i="1"/>
  <c r="C6303" i="1"/>
  <c r="C6302" i="1"/>
  <c r="C6301" i="1"/>
  <c r="C6300" i="1"/>
  <c r="C6299" i="1"/>
  <c r="C6298" i="1"/>
  <c r="C6297" i="1"/>
  <c r="C6296" i="1"/>
  <c r="C6295" i="1"/>
  <c r="C6294" i="1"/>
  <c r="C6293" i="1"/>
  <c r="C6292" i="1"/>
  <c r="C6291" i="1"/>
  <c r="C6290" i="1"/>
  <c r="C6289" i="1"/>
  <c r="C6288" i="1"/>
  <c r="C6287" i="1"/>
  <c r="C6286" i="1"/>
  <c r="C6285" i="1"/>
  <c r="C6284" i="1"/>
  <c r="C6283" i="1"/>
  <c r="C6282" i="1"/>
  <c r="C6281" i="1"/>
  <c r="C6280" i="1"/>
  <c r="C6279" i="1"/>
  <c r="C6278" i="1"/>
  <c r="C6277" i="1"/>
  <c r="C6276" i="1"/>
  <c r="C6275" i="1"/>
  <c r="C6274" i="1"/>
  <c r="C6273" i="1"/>
  <c r="C6272" i="1"/>
  <c r="C6271" i="1"/>
  <c r="C6270" i="1"/>
  <c r="C6269" i="1"/>
  <c r="C6268" i="1"/>
  <c r="C6267" i="1"/>
  <c r="C6266" i="1"/>
  <c r="C6265" i="1"/>
  <c r="C6264" i="1"/>
  <c r="C6263" i="1"/>
  <c r="C6262" i="1"/>
  <c r="C6261" i="1"/>
  <c r="C6260" i="1"/>
  <c r="C6259" i="1"/>
  <c r="C6258" i="1"/>
  <c r="C6257" i="1"/>
  <c r="C6256" i="1"/>
  <c r="C6255" i="1"/>
  <c r="C6254" i="1"/>
  <c r="C6253" i="1"/>
  <c r="C6252" i="1"/>
  <c r="C6251" i="1"/>
  <c r="C6250" i="1"/>
  <c r="C6249" i="1"/>
  <c r="C6248" i="1"/>
  <c r="C6247" i="1"/>
  <c r="C6246" i="1"/>
  <c r="C6245" i="1"/>
  <c r="C6244" i="1"/>
  <c r="C6243" i="1"/>
  <c r="C6242" i="1"/>
  <c r="C6241" i="1"/>
  <c r="C6240" i="1"/>
  <c r="C6239" i="1"/>
  <c r="C6238" i="1"/>
  <c r="C6237" i="1"/>
  <c r="C6236" i="1"/>
  <c r="C6235" i="1"/>
  <c r="C6234" i="1"/>
  <c r="C6233" i="1"/>
  <c r="C6232" i="1"/>
  <c r="C6231" i="1"/>
  <c r="C6230" i="1"/>
  <c r="C6229" i="1"/>
  <c r="C6228" i="1"/>
  <c r="C6227" i="1"/>
  <c r="C6226" i="1"/>
  <c r="C6225" i="1"/>
  <c r="C6224" i="1"/>
  <c r="C6223" i="1"/>
  <c r="C6222" i="1"/>
  <c r="C6221" i="1"/>
  <c r="C6220" i="1"/>
  <c r="C6219" i="1"/>
  <c r="C6218" i="1"/>
  <c r="C6217" i="1"/>
  <c r="C6216" i="1"/>
  <c r="C6215" i="1"/>
  <c r="C6214" i="1"/>
  <c r="C6213" i="1"/>
  <c r="C6212" i="1"/>
  <c r="C6211" i="1"/>
  <c r="C6210" i="1"/>
  <c r="C6209" i="1"/>
  <c r="C6208" i="1"/>
  <c r="C6207" i="1"/>
  <c r="C6206" i="1"/>
  <c r="C6205" i="1"/>
  <c r="C6204" i="1"/>
  <c r="C6203" i="1"/>
  <c r="C6202" i="1"/>
  <c r="C6201" i="1"/>
  <c r="C6200" i="1"/>
  <c r="C6199" i="1"/>
  <c r="C6198" i="1"/>
  <c r="C6197" i="1"/>
  <c r="C6196" i="1"/>
  <c r="C6195" i="1"/>
  <c r="C6194" i="1"/>
  <c r="C6193" i="1"/>
  <c r="C6192" i="1"/>
  <c r="C6191" i="1"/>
  <c r="C6190" i="1"/>
  <c r="C6189" i="1"/>
  <c r="C6188" i="1"/>
  <c r="C6187" i="1"/>
  <c r="C6186" i="1"/>
  <c r="C6185" i="1"/>
  <c r="C6184" i="1"/>
  <c r="C6183" i="1"/>
  <c r="C6182" i="1"/>
  <c r="C6181" i="1"/>
  <c r="C6180" i="1"/>
  <c r="C6179" i="1"/>
  <c r="C6178" i="1"/>
  <c r="C6177" i="1"/>
  <c r="C6176" i="1"/>
  <c r="C6175" i="1"/>
  <c r="C6174" i="1"/>
  <c r="C6173" i="1"/>
  <c r="C6172" i="1"/>
  <c r="C6171" i="1"/>
  <c r="C6170" i="1"/>
  <c r="C6169" i="1"/>
  <c r="C6168" i="1"/>
  <c r="C6167" i="1"/>
  <c r="C6166" i="1"/>
  <c r="C6165" i="1"/>
  <c r="C6164" i="1"/>
  <c r="C6163" i="1"/>
  <c r="C6162" i="1"/>
  <c r="C6161" i="1"/>
  <c r="C6160" i="1"/>
  <c r="C6159" i="1"/>
  <c r="C6158" i="1"/>
  <c r="C6157" i="1"/>
  <c r="C6156" i="1"/>
  <c r="C6155" i="1"/>
  <c r="C6154" i="1"/>
  <c r="C6153" i="1"/>
  <c r="C6152" i="1"/>
  <c r="C6151" i="1"/>
  <c r="C6150" i="1"/>
  <c r="C6149" i="1"/>
  <c r="C6148" i="1"/>
  <c r="C6147" i="1"/>
  <c r="C6146" i="1"/>
  <c r="C6145" i="1"/>
  <c r="C6144" i="1"/>
  <c r="C6143" i="1"/>
  <c r="C6142" i="1"/>
  <c r="C6141" i="1"/>
  <c r="C6140" i="1"/>
  <c r="C6139" i="1"/>
  <c r="C6138" i="1"/>
  <c r="C6137" i="1"/>
  <c r="C6136" i="1"/>
  <c r="C6135" i="1"/>
  <c r="C6134" i="1"/>
  <c r="C6133" i="1"/>
  <c r="C6132" i="1"/>
  <c r="C6131" i="1"/>
  <c r="C6130" i="1"/>
  <c r="C6129" i="1"/>
  <c r="C6128" i="1"/>
  <c r="C6127" i="1"/>
  <c r="C6126" i="1"/>
  <c r="C6125" i="1"/>
  <c r="C6124" i="1"/>
  <c r="C6123" i="1"/>
  <c r="C6122" i="1"/>
  <c r="C6121" i="1"/>
  <c r="C6120" i="1"/>
  <c r="C6119" i="1"/>
  <c r="C6118" i="1"/>
  <c r="C6117" i="1"/>
  <c r="C6116" i="1"/>
  <c r="C6115" i="1"/>
  <c r="C6114" i="1"/>
  <c r="C6113" i="1"/>
  <c r="C6112" i="1"/>
  <c r="C6111" i="1"/>
  <c r="C6110" i="1"/>
  <c r="C6109" i="1"/>
  <c r="C6108" i="1"/>
  <c r="C6107" i="1"/>
  <c r="C6106" i="1"/>
  <c r="C6105" i="1"/>
  <c r="C6104" i="1"/>
  <c r="C6103" i="1"/>
  <c r="C6102" i="1"/>
  <c r="C6101" i="1"/>
  <c r="C6100" i="1"/>
  <c r="C6099" i="1"/>
  <c r="C6098" i="1"/>
  <c r="C6097" i="1"/>
  <c r="C6096" i="1"/>
  <c r="C6095" i="1"/>
  <c r="C6094" i="1"/>
  <c r="C6093" i="1"/>
  <c r="C6092" i="1"/>
  <c r="C6091" i="1"/>
  <c r="C6090" i="1"/>
  <c r="C6089" i="1"/>
  <c r="C6088" i="1"/>
  <c r="C6087" i="1"/>
  <c r="C6086" i="1"/>
  <c r="C6085" i="1"/>
  <c r="C6084" i="1"/>
  <c r="C6083" i="1"/>
  <c r="C6082" i="1"/>
  <c r="C6081" i="1"/>
  <c r="C6080" i="1"/>
  <c r="C6079" i="1"/>
  <c r="C6078" i="1"/>
  <c r="C6077" i="1"/>
  <c r="C6076" i="1"/>
  <c r="C6075" i="1"/>
  <c r="C6074" i="1"/>
  <c r="C6073" i="1"/>
  <c r="C6072" i="1"/>
  <c r="C6071" i="1"/>
  <c r="C6070" i="1"/>
  <c r="C6069" i="1"/>
  <c r="C6068" i="1"/>
  <c r="C6067" i="1"/>
  <c r="C6066" i="1"/>
  <c r="C6065" i="1"/>
  <c r="C6064" i="1"/>
  <c r="C6063" i="1"/>
  <c r="C6062" i="1"/>
  <c r="C6061" i="1"/>
  <c r="C6060" i="1"/>
  <c r="C6059" i="1"/>
  <c r="C6058" i="1"/>
  <c r="C6057" i="1"/>
  <c r="C6056" i="1"/>
  <c r="C6055" i="1"/>
  <c r="C6054" i="1"/>
  <c r="C6053" i="1"/>
  <c r="C6052" i="1"/>
  <c r="C6051" i="1"/>
  <c r="C6050" i="1"/>
  <c r="C6049" i="1"/>
  <c r="C6048" i="1"/>
  <c r="C6047" i="1"/>
  <c r="C6046" i="1"/>
  <c r="C6045" i="1"/>
  <c r="C6044" i="1"/>
  <c r="C6043" i="1"/>
  <c r="C6042" i="1"/>
  <c r="C6041" i="1"/>
  <c r="C6040" i="1"/>
  <c r="C6039" i="1"/>
  <c r="C6038" i="1"/>
  <c r="C6037" i="1"/>
  <c r="C6036" i="1"/>
  <c r="C6035" i="1"/>
  <c r="C6034" i="1"/>
  <c r="C6033" i="1"/>
  <c r="C6032" i="1"/>
  <c r="C6031" i="1"/>
  <c r="C6030" i="1"/>
  <c r="C6029" i="1"/>
  <c r="C6028" i="1"/>
  <c r="C6027" i="1"/>
  <c r="C6026" i="1"/>
  <c r="C6025" i="1"/>
  <c r="C6024" i="1"/>
  <c r="C6023" i="1"/>
  <c r="C6022" i="1"/>
  <c r="C6021" i="1"/>
  <c r="C6020" i="1"/>
  <c r="C6019" i="1"/>
  <c r="C6018" i="1"/>
  <c r="C6017" i="1"/>
  <c r="C6016" i="1"/>
  <c r="C6015" i="1"/>
  <c r="C6014" i="1"/>
  <c r="C6013" i="1"/>
  <c r="C6012" i="1"/>
  <c r="C6011" i="1"/>
  <c r="C6010" i="1"/>
  <c r="C6009" i="1"/>
  <c r="C6008" i="1"/>
  <c r="C6007" i="1"/>
  <c r="C6006" i="1"/>
  <c r="C6005" i="1"/>
  <c r="C6004" i="1"/>
  <c r="C6003" i="1"/>
  <c r="C6002" i="1"/>
  <c r="C6001" i="1"/>
  <c r="C6000" i="1"/>
  <c r="C5999" i="1"/>
  <c r="C5998" i="1"/>
  <c r="C5997" i="1"/>
  <c r="C5996" i="1"/>
  <c r="C5995" i="1"/>
  <c r="C5994" i="1"/>
  <c r="C5993" i="1"/>
  <c r="C5992" i="1"/>
  <c r="C5991" i="1"/>
  <c r="C5990" i="1"/>
  <c r="C5989" i="1"/>
  <c r="C5988" i="1"/>
  <c r="C5987" i="1"/>
  <c r="C5986" i="1"/>
  <c r="C5985" i="1"/>
  <c r="C5984" i="1"/>
  <c r="C5983" i="1"/>
  <c r="C5982" i="1"/>
  <c r="C5981" i="1"/>
  <c r="C5980" i="1"/>
  <c r="C5979" i="1"/>
  <c r="C5978" i="1"/>
  <c r="C5977" i="1"/>
  <c r="C5976" i="1"/>
  <c r="C5975" i="1"/>
  <c r="C5974" i="1"/>
  <c r="C5973" i="1"/>
  <c r="C5972" i="1"/>
  <c r="C5971" i="1"/>
  <c r="C5970" i="1"/>
  <c r="C5969" i="1"/>
  <c r="C5968" i="1"/>
  <c r="C5967" i="1"/>
  <c r="C5966" i="1"/>
  <c r="C5965" i="1"/>
  <c r="C5964" i="1"/>
  <c r="C5963" i="1"/>
  <c r="C5962" i="1"/>
  <c r="C5961" i="1"/>
  <c r="C5960" i="1"/>
  <c r="C5959" i="1"/>
  <c r="C5958" i="1"/>
  <c r="C5957" i="1"/>
  <c r="C5956" i="1"/>
  <c r="C5955" i="1"/>
  <c r="C5954" i="1"/>
  <c r="C5953" i="1"/>
  <c r="C5952" i="1"/>
  <c r="C5951" i="1"/>
  <c r="C5950" i="1"/>
  <c r="C5949" i="1"/>
  <c r="C5948" i="1"/>
  <c r="C5947" i="1"/>
  <c r="C5946" i="1"/>
  <c r="C5945" i="1"/>
  <c r="C5944" i="1"/>
  <c r="C5943" i="1"/>
  <c r="C5942" i="1"/>
  <c r="C5941" i="1"/>
  <c r="C5940" i="1"/>
  <c r="C5939" i="1"/>
  <c r="C5938" i="1"/>
  <c r="C5937" i="1"/>
  <c r="C5936" i="1"/>
  <c r="C5935" i="1"/>
  <c r="C5934" i="1"/>
  <c r="C5933" i="1"/>
  <c r="C5932" i="1"/>
  <c r="C5931" i="1"/>
  <c r="C5930" i="1"/>
  <c r="C5929" i="1"/>
  <c r="C5928" i="1"/>
  <c r="C5927" i="1"/>
  <c r="C5926" i="1"/>
  <c r="C5925" i="1"/>
  <c r="C5924" i="1"/>
  <c r="C5923" i="1"/>
  <c r="C5922" i="1"/>
  <c r="C5921" i="1"/>
  <c r="C5920" i="1"/>
  <c r="C5919" i="1"/>
  <c r="C5918" i="1"/>
  <c r="C5917" i="1"/>
  <c r="C5916" i="1"/>
  <c r="C5915" i="1"/>
  <c r="C5914" i="1"/>
  <c r="C5913" i="1"/>
  <c r="C5912" i="1"/>
  <c r="C5911" i="1"/>
  <c r="C5910" i="1"/>
  <c r="C5909" i="1"/>
  <c r="C5908" i="1"/>
  <c r="C5907" i="1"/>
  <c r="C5906" i="1"/>
  <c r="C5905" i="1"/>
  <c r="C5904" i="1"/>
  <c r="C5903" i="1"/>
  <c r="C5902" i="1"/>
  <c r="C5901" i="1"/>
  <c r="C5900" i="1"/>
  <c r="C5899" i="1"/>
  <c r="C5898" i="1"/>
  <c r="C5897" i="1"/>
  <c r="C5896" i="1"/>
  <c r="C5895" i="1"/>
  <c r="C5894" i="1"/>
  <c r="C5893" i="1"/>
  <c r="C5892" i="1"/>
  <c r="C5891" i="1"/>
  <c r="C5890" i="1"/>
  <c r="C5889" i="1"/>
  <c r="C5888" i="1"/>
  <c r="C5887" i="1"/>
  <c r="C5886" i="1"/>
  <c r="C5885" i="1"/>
  <c r="C5884" i="1"/>
  <c r="C5883" i="1"/>
  <c r="C5882" i="1"/>
  <c r="C5881" i="1"/>
  <c r="C5880" i="1"/>
  <c r="C5879" i="1"/>
  <c r="C5878" i="1"/>
  <c r="C5877" i="1"/>
  <c r="C5876" i="1"/>
  <c r="C5875" i="1"/>
  <c r="C5874" i="1"/>
  <c r="C5873" i="1"/>
  <c r="C5872" i="1"/>
  <c r="C5871" i="1"/>
  <c r="C5870" i="1"/>
  <c r="C5869" i="1"/>
  <c r="C5868" i="1"/>
  <c r="C5867" i="1"/>
  <c r="C5866" i="1"/>
  <c r="C5865" i="1"/>
  <c r="C5864" i="1"/>
  <c r="C5863" i="1"/>
  <c r="C5862" i="1"/>
  <c r="C5861" i="1"/>
  <c r="C5860" i="1"/>
  <c r="C5859" i="1"/>
  <c r="C5858" i="1"/>
  <c r="C5857" i="1"/>
  <c r="C5856" i="1"/>
  <c r="C5855" i="1"/>
  <c r="C5854" i="1"/>
  <c r="C5853" i="1"/>
  <c r="C5852" i="1"/>
  <c r="C5851" i="1"/>
  <c r="C5850" i="1"/>
  <c r="C5849" i="1"/>
  <c r="C5848" i="1"/>
  <c r="C5847" i="1"/>
  <c r="C5846" i="1"/>
  <c r="C5845" i="1"/>
  <c r="C5844" i="1"/>
  <c r="C5843" i="1"/>
  <c r="C5842" i="1"/>
  <c r="C5841" i="1"/>
  <c r="C5840" i="1"/>
  <c r="C5839" i="1"/>
  <c r="C5838" i="1"/>
  <c r="C5837" i="1"/>
  <c r="C5836" i="1"/>
  <c r="C5835" i="1"/>
  <c r="C5834" i="1"/>
  <c r="C5833" i="1"/>
  <c r="C5832" i="1"/>
  <c r="C5831" i="1"/>
  <c r="C5830" i="1"/>
  <c r="C5829" i="1"/>
  <c r="C5828" i="1"/>
  <c r="C5827" i="1"/>
  <c r="C5826" i="1"/>
  <c r="C5825" i="1"/>
  <c r="C5824" i="1"/>
  <c r="C5823" i="1"/>
  <c r="C5822" i="1"/>
  <c r="C5821" i="1"/>
  <c r="C5820" i="1"/>
  <c r="C5819" i="1"/>
  <c r="C5818" i="1"/>
  <c r="C5817" i="1"/>
  <c r="C5816" i="1"/>
  <c r="C5815" i="1"/>
  <c r="C5814" i="1"/>
  <c r="C5813" i="1"/>
  <c r="C5812" i="1"/>
  <c r="C5811" i="1"/>
  <c r="C5810" i="1"/>
  <c r="C5809" i="1"/>
  <c r="C5808" i="1"/>
  <c r="C5807" i="1"/>
  <c r="C5806" i="1"/>
  <c r="C5805" i="1"/>
  <c r="C5804" i="1"/>
  <c r="C5803" i="1"/>
  <c r="C5802" i="1"/>
  <c r="C5801" i="1"/>
  <c r="C5800" i="1"/>
  <c r="C5799" i="1"/>
  <c r="C5798" i="1"/>
  <c r="C5797" i="1"/>
  <c r="C5796" i="1"/>
  <c r="C5795" i="1"/>
  <c r="C5794" i="1"/>
  <c r="C5793" i="1"/>
  <c r="C5792" i="1"/>
  <c r="C5791" i="1"/>
  <c r="C5790" i="1"/>
  <c r="C5789" i="1"/>
  <c r="C5788" i="1"/>
  <c r="C5787" i="1"/>
  <c r="C5786" i="1"/>
  <c r="C5785" i="1"/>
  <c r="C5784" i="1"/>
  <c r="C5783" i="1"/>
  <c r="C5782" i="1"/>
  <c r="C5781" i="1"/>
  <c r="C5780" i="1"/>
  <c r="C5779" i="1"/>
  <c r="C5778" i="1"/>
  <c r="C5777" i="1"/>
  <c r="C5776" i="1"/>
  <c r="C5775" i="1"/>
  <c r="C5774" i="1"/>
  <c r="C5773" i="1"/>
  <c r="C5772" i="1"/>
  <c r="C5771" i="1"/>
  <c r="C5770" i="1"/>
  <c r="C5769" i="1"/>
  <c r="C5768" i="1"/>
  <c r="C5767" i="1"/>
  <c r="C5766" i="1"/>
  <c r="C5765" i="1"/>
  <c r="C5764" i="1"/>
  <c r="C5763" i="1"/>
  <c r="C5762" i="1"/>
  <c r="C5761" i="1"/>
  <c r="C5760" i="1"/>
  <c r="C5759" i="1"/>
  <c r="C5758" i="1"/>
  <c r="C5757" i="1"/>
  <c r="C5756" i="1"/>
  <c r="C5755" i="1"/>
  <c r="C5754" i="1"/>
  <c r="C5753" i="1"/>
  <c r="C5752" i="1"/>
  <c r="C5751" i="1"/>
  <c r="C5750" i="1"/>
  <c r="C5749" i="1"/>
  <c r="C5748" i="1"/>
  <c r="C5747" i="1"/>
  <c r="C5746" i="1"/>
  <c r="C5745" i="1"/>
  <c r="C5744" i="1"/>
  <c r="C5743" i="1"/>
  <c r="C5742" i="1"/>
  <c r="C5741" i="1"/>
  <c r="C5740" i="1"/>
  <c r="C5739" i="1"/>
  <c r="C5738" i="1"/>
  <c r="C5737" i="1"/>
  <c r="C5736" i="1"/>
  <c r="C5735" i="1"/>
  <c r="C5734" i="1"/>
  <c r="C5733" i="1"/>
  <c r="C5732" i="1"/>
  <c r="C5731" i="1"/>
  <c r="C5730" i="1"/>
  <c r="C5729" i="1"/>
  <c r="C5728" i="1"/>
  <c r="C5727" i="1"/>
  <c r="C5726" i="1"/>
  <c r="C5725" i="1"/>
  <c r="C5724" i="1"/>
  <c r="C5723" i="1"/>
  <c r="C5722" i="1"/>
  <c r="C5721" i="1"/>
  <c r="C5720" i="1"/>
  <c r="C5719" i="1"/>
  <c r="C5718" i="1"/>
  <c r="C5717" i="1"/>
  <c r="C5716" i="1"/>
  <c r="C5715" i="1"/>
  <c r="C5714" i="1"/>
  <c r="C5713" i="1"/>
  <c r="C5712" i="1"/>
  <c r="C5711" i="1"/>
  <c r="C5710" i="1"/>
  <c r="C5709" i="1"/>
  <c r="C5708" i="1"/>
  <c r="C5707" i="1"/>
  <c r="C5706" i="1"/>
  <c r="C5705" i="1"/>
  <c r="C5704" i="1"/>
  <c r="C5703" i="1"/>
  <c r="C5702" i="1"/>
  <c r="C5701" i="1"/>
  <c r="C5700" i="1"/>
  <c r="C5699" i="1"/>
  <c r="C5698" i="1"/>
  <c r="C5697" i="1"/>
  <c r="C5696" i="1"/>
  <c r="C5695" i="1"/>
  <c r="C5694" i="1"/>
  <c r="C5693" i="1"/>
  <c r="C5692" i="1"/>
  <c r="C5691" i="1"/>
  <c r="C5690" i="1"/>
  <c r="C5689" i="1"/>
  <c r="C5688" i="1"/>
  <c r="C5687" i="1"/>
  <c r="C5686" i="1"/>
  <c r="C5685" i="1"/>
  <c r="C5684" i="1"/>
  <c r="C5683" i="1"/>
  <c r="C5682" i="1"/>
  <c r="C5681" i="1"/>
  <c r="C5680" i="1"/>
  <c r="C5679" i="1"/>
  <c r="C5678" i="1"/>
  <c r="C5677" i="1"/>
  <c r="C5676" i="1"/>
  <c r="C5675" i="1"/>
  <c r="C5674" i="1"/>
  <c r="C5673" i="1"/>
  <c r="C5672" i="1"/>
  <c r="C5671" i="1"/>
  <c r="C5670" i="1"/>
  <c r="C5669" i="1"/>
  <c r="C5668" i="1"/>
  <c r="C5667" i="1"/>
  <c r="C5666" i="1"/>
  <c r="C5665" i="1"/>
  <c r="C5664" i="1"/>
  <c r="C5663" i="1"/>
  <c r="C5662" i="1"/>
  <c r="C5661" i="1"/>
  <c r="C5660" i="1"/>
  <c r="C5659" i="1"/>
  <c r="C5658" i="1"/>
  <c r="C5657" i="1"/>
  <c r="C5656" i="1"/>
  <c r="C5655" i="1"/>
  <c r="C5654" i="1"/>
  <c r="C5653" i="1"/>
  <c r="C5652" i="1"/>
  <c r="C5651" i="1"/>
  <c r="C5650" i="1"/>
  <c r="C5649" i="1"/>
  <c r="C5648" i="1"/>
  <c r="C5647" i="1"/>
  <c r="C5646" i="1"/>
  <c r="C5645" i="1"/>
  <c r="C5644" i="1"/>
  <c r="C5643" i="1"/>
  <c r="C5642" i="1"/>
  <c r="C5641" i="1"/>
  <c r="C5640" i="1"/>
  <c r="C5639" i="1"/>
  <c r="C5638" i="1"/>
  <c r="C5637" i="1"/>
  <c r="C5636" i="1"/>
  <c r="C5635" i="1"/>
  <c r="C5634" i="1"/>
  <c r="C5633" i="1"/>
  <c r="C5632" i="1"/>
  <c r="C5631" i="1"/>
  <c r="C5630" i="1"/>
  <c r="C5629" i="1"/>
  <c r="C5628" i="1"/>
  <c r="C5627" i="1"/>
  <c r="C5626" i="1"/>
  <c r="C5625" i="1"/>
  <c r="C5624" i="1"/>
  <c r="C5623" i="1"/>
  <c r="C5622" i="1"/>
  <c r="C5621" i="1"/>
  <c r="C5620" i="1"/>
  <c r="C5619" i="1"/>
  <c r="C5618" i="1"/>
  <c r="C5617" i="1"/>
  <c r="C5616" i="1"/>
  <c r="C5615" i="1"/>
  <c r="C5614" i="1"/>
  <c r="C5613" i="1"/>
  <c r="C5612" i="1"/>
  <c r="C5611" i="1"/>
  <c r="C5610" i="1"/>
  <c r="C5609" i="1"/>
  <c r="C5608" i="1"/>
  <c r="C5607" i="1"/>
  <c r="C5606" i="1"/>
  <c r="C5605" i="1"/>
  <c r="C5604" i="1"/>
  <c r="C5603" i="1"/>
  <c r="C5602" i="1"/>
  <c r="C5601" i="1"/>
  <c r="C5600" i="1"/>
  <c r="C5599" i="1"/>
  <c r="C5598" i="1"/>
  <c r="C5597" i="1"/>
  <c r="C5596" i="1"/>
  <c r="C5595" i="1"/>
  <c r="C5594" i="1"/>
  <c r="C5593" i="1"/>
  <c r="C5592" i="1"/>
  <c r="C5591" i="1"/>
  <c r="C5590" i="1"/>
  <c r="C5589" i="1"/>
  <c r="C5588" i="1"/>
  <c r="C5587" i="1"/>
  <c r="C5586" i="1"/>
  <c r="C5585" i="1"/>
  <c r="C5584" i="1"/>
  <c r="C5583" i="1"/>
  <c r="C5582" i="1"/>
  <c r="C5581" i="1"/>
  <c r="C5580" i="1"/>
  <c r="C5579" i="1"/>
  <c r="C5578" i="1"/>
  <c r="C5577" i="1"/>
  <c r="C5576" i="1"/>
  <c r="C5575" i="1"/>
  <c r="C5574" i="1"/>
  <c r="C5573" i="1"/>
  <c r="C5572" i="1"/>
  <c r="C5571" i="1"/>
  <c r="C5570" i="1"/>
  <c r="C5569" i="1"/>
  <c r="C5568" i="1"/>
  <c r="C5567" i="1"/>
  <c r="C5566" i="1"/>
  <c r="C5565" i="1"/>
  <c r="C5564" i="1"/>
  <c r="C5563" i="1"/>
  <c r="C5562" i="1"/>
  <c r="C5561" i="1"/>
  <c r="C5560" i="1"/>
  <c r="C5559" i="1"/>
  <c r="C5558" i="1"/>
  <c r="C5557" i="1"/>
  <c r="C5556" i="1"/>
  <c r="C5555" i="1"/>
  <c r="C5554" i="1"/>
  <c r="C5553" i="1"/>
  <c r="C5552" i="1"/>
  <c r="C5551" i="1"/>
  <c r="C5550" i="1"/>
  <c r="C5549" i="1"/>
  <c r="C5548" i="1"/>
  <c r="C5547" i="1"/>
  <c r="C5546" i="1"/>
  <c r="C5545" i="1"/>
  <c r="C5544" i="1"/>
  <c r="C5543" i="1"/>
  <c r="C5542" i="1"/>
  <c r="C5541" i="1"/>
  <c r="C5540" i="1"/>
  <c r="C5539" i="1"/>
  <c r="C5538" i="1"/>
  <c r="C5537" i="1"/>
  <c r="C5536" i="1"/>
  <c r="C5535" i="1"/>
  <c r="C5534" i="1"/>
  <c r="C5533" i="1"/>
  <c r="C5532" i="1"/>
  <c r="C5531" i="1"/>
  <c r="C5530" i="1"/>
  <c r="C5529" i="1"/>
  <c r="C5528" i="1"/>
  <c r="C5527" i="1"/>
  <c r="C5526" i="1"/>
  <c r="C5525" i="1"/>
  <c r="C5524" i="1"/>
  <c r="C5523" i="1"/>
  <c r="C5522" i="1"/>
  <c r="C5521" i="1"/>
  <c r="C5520" i="1"/>
  <c r="C5519" i="1"/>
  <c r="C5518" i="1"/>
  <c r="C5517" i="1"/>
  <c r="C5516" i="1"/>
  <c r="C5515" i="1"/>
  <c r="C5514" i="1"/>
  <c r="C5513" i="1"/>
  <c r="C5512" i="1"/>
  <c r="C5511" i="1"/>
  <c r="C5510" i="1"/>
  <c r="C5509" i="1"/>
  <c r="C5508" i="1"/>
  <c r="C5507" i="1"/>
  <c r="C5506" i="1"/>
  <c r="C5505" i="1"/>
  <c r="C5504" i="1"/>
  <c r="C5503" i="1"/>
  <c r="C5502" i="1"/>
  <c r="C5501" i="1"/>
  <c r="C5500" i="1"/>
  <c r="C5499" i="1"/>
  <c r="C5498" i="1"/>
  <c r="C5497" i="1"/>
  <c r="C5496" i="1"/>
  <c r="C5495" i="1"/>
  <c r="C5494" i="1"/>
  <c r="C5493" i="1"/>
  <c r="C5492" i="1"/>
  <c r="C5491" i="1"/>
  <c r="C5490" i="1"/>
  <c r="C5489" i="1"/>
  <c r="C5488" i="1"/>
  <c r="C5487" i="1"/>
  <c r="C5486" i="1"/>
  <c r="C5485" i="1"/>
  <c r="C5484" i="1"/>
  <c r="C5483" i="1"/>
  <c r="C5482" i="1"/>
  <c r="C5481" i="1"/>
  <c r="C5480" i="1"/>
  <c r="C5479" i="1"/>
  <c r="C5478" i="1"/>
  <c r="C5477" i="1"/>
  <c r="C5476" i="1"/>
  <c r="C5475" i="1"/>
  <c r="C5474" i="1"/>
  <c r="C5473" i="1"/>
  <c r="C5472" i="1"/>
  <c r="C5471" i="1"/>
  <c r="C5470" i="1"/>
  <c r="C5469" i="1"/>
  <c r="C5468" i="1"/>
  <c r="C5467" i="1"/>
  <c r="C5466" i="1"/>
  <c r="C5465" i="1"/>
  <c r="C5464" i="1"/>
  <c r="C5463" i="1"/>
  <c r="C5462" i="1"/>
  <c r="C5461" i="1"/>
  <c r="C5460" i="1"/>
  <c r="C5459" i="1"/>
  <c r="C5458" i="1"/>
  <c r="C5457" i="1"/>
  <c r="C5456" i="1"/>
  <c r="C5455" i="1"/>
  <c r="C5454" i="1"/>
  <c r="C5453" i="1"/>
  <c r="C5452" i="1"/>
  <c r="C5451" i="1"/>
  <c r="C5450" i="1"/>
  <c r="C5449" i="1"/>
  <c r="C5448" i="1"/>
  <c r="C5447" i="1"/>
  <c r="C5446" i="1"/>
  <c r="C5445" i="1"/>
  <c r="C5444" i="1"/>
  <c r="C5443" i="1"/>
  <c r="C5442" i="1"/>
  <c r="C5441" i="1"/>
  <c r="C5440" i="1"/>
  <c r="C5439" i="1"/>
  <c r="C5438" i="1"/>
  <c r="C5437" i="1"/>
  <c r="C5436" i="1"/>
  <c r="C5435" i="1"/>
  <c r="C5434" i="1"/>
  <c r="C5433" i="1"/>
  <c r="C5432" i="1"/>
  <c r="C5431" i="1"/>
  <c r="C5430" i="1"/>
  <c r="C5429" i="1"/>
  <c r="C5428" i="1"/>
  <c r="C5427" i="1"/>
  <c r="C5426" i="1"/>
  <c r="C5425" i="1"/>
  <c r="C5424" i="1"/>
  <c r="C5423" i="1"/>
  <c r="C5422" i="1"/>
  <c r="C5421" i="1"/>
  <c r="C5420" i="1"/>
  <c r="C5419" i="1"/>
  <c r="C5418" i="1"/>
  <c r="C5417" i="1"/>
  <c r="C5416" i="1"/>
  <c r="C5415" i="1"/>
  <c r="C5414" i="1"/>
  <c r="C5413" i="1"/>
  <c r="C5412" i="1"/>
  <c r="C5411" i="1"/>
  <c r="C5410" i="1"/>
  <c r="C5409" i="1"/>
  <c r="C5408" i="1"/>
  <c r="C5407" i="1"/>
  <c r="C5406" i="1"/>
  <c r="C5405" i="1"/>
  <c r="C5404" i="1"/>
  <c r="C5403" i="1"/>
  <c r="C5402" i="1"/>
  <c r="C5401" i="1"/>
  <c r="C5400" i="1"/>
  <c r="C5399" i="1"/>
  <c r="C5398" i="1"/>
  <c r="C5397" i="1"/>
  <c r="C5396" i="1"/>
  <c r="C5395" i="1"/>
  <c r="C5394" i="1"/>
  <c r="C5393" i="1"/>
  <c r="C5392" i="1"/>
  <c r="C5391" i="1"/>
  <c r="C5390" i="1"/>
  <c r="C5389" i="1"/>
  <c r="C5388" i="1"/>
  <c r="C5387" i="1"/>
  <c r="C5386" i="1"/>
  <c r="C5385" i="1"/>
  <c r="C5384" i="1"/>
  <c r="C5383" i="1"/>
  <c r="C5382" i="1"/>
  <c r="C5381" i="1"/>
  <c r="C5380" i="1"/>
  <c r="C5379" i="1"/>
  <c r="C5378" i="1"/>
  <c r="C5377" i="1"/>
  <c r="C5376" i="1"/>
  <c r="C5375" i="1"/>
  <c r="C5374" i="1"/>
  <c r="C5373" i="1"/>
  <c r="C5372" i="1"/>
  <c r="C5371" i="1"/>
  <c r="C5370" i="1"/>
  <c r="C5369" i="1"/>
  <c r="C5368" i="1"/>
  <c r="C5367" i="1"/>
  <c r="C5366" i="1"/>
  <c r="C5365" i="1"/>
  <c r="C5364" i="1"/>
  <c r="C5363" i="1"/>
  <c r="C5362" i="1"/>
  <c r="C5361" i="1"/>
  <c r="C5360" i="1"/>
  <c r="C5359" i="1"/>
  <c r="C5358" i="1"/>
  <c r="C5357" i="1"/>
  <c r="C5356" i="1"/>
  <c r="C5355" i="1"/>
  <c r="C5354" i="1"/>
  <c r="C5353" i="1"/>
  <c r="C5352" i="1"/>
  <c r="C5351" i="1"/>
  <c r="C5350" i="1"/>
  <c r="C5349" i="1"/>
  <c r="C5348" i="1"/>
  <c r="C5347" i="1"/>
  <c r="C5346" i="1"/>
  <c r="C5345" i="1"/>
  <c r="C5344" i="1"/>
  <c r="C5343" i="1"/>
  <c r="C5342" i="1"/>
  <c r="C5341" i="1"/>
  <c r="C5340" i="1"/>
  <c r="C5339" i="1"/>
  <c r="C5338" i="1"/>
  <c r="C5337" i="1"/>
  <c r="C5336" i="1"/>
  <c r="C5335" i="1"/>
  <c r="C5334" i="1"/>
  <c r="C5333" i="1"/>
  <c r="C5332" i="1"/>
  <c r="C5331" i="1"/>
  <c r="C5330" i="1"/>
  <c r="C5329" i="1"/>
  <c r="C5328" i="1"/>
  <c r="C5327" i="1"/>
  <c r="C5326" i="1"/>
  <c r="C5325" i="1"/>
  <c r="C5324" i="1"/>
  <c r="C5323" i="1"/>
  <c r="C5322" i="1"/>
  <c r="C5321" i="1"/>
  <c r="C5320" i="1"/>
  <c r="C5319" i="1"/>
  <c r="C5318" i="1"/>
  <c r="C5317" i="1"/>
  <c r="C5316" i="1"/>
  <c r="C5315" i="1"/>
  <c r="C5314" i="1"/>
  <c r="C5313" i="1"/>
  <c r="C5312" i="1"/>
  <c r="C5311" i="1"/>
  <c r="C5310" i="1"/>
  <c r="C5309" i="1"/>
  <c r="C5308" i="1"/>
  <c r="C5307" i="1"/>
  <c r="C5306" i="1"/>
  <c r="C5305" i="1"/>
  <c r="C5304" i="1"/>
  <c r="C5303" i="1"/>
  <c r="C5302" i="1"/>
  <c r="C5301" i="1"/>
  <c r="C5300" i="1"/>
  <c r="C5299" i="1"/>
  <c r="C5298" i="1"/>
  <c r="C5297" i="1"/>
  <c r="C5296" i="1"/>
  <c r="C5295" i="1"/>
  <c r="C5294" i="1"/>
  <c r="C5293" i="1"/>
  <c r="C5292" i="1"/>
  <c r="C5291" i="1"/>
  <c r="C5290" i="1"/>
  <c r="C5289" i="1"/>
  <c r="C5288" i="1"/>
  <c r="C5287" i="1"/>
  <c r="C5286" i="1"/>
  <c r="C5285" i="1"/>
  <c r="C5284" i="1"/>
  <c r="C5283" i="1"/>
  <c r="C5282" i="1"/>
  <c r="C5281" i="1"/>
  <c r="C5280" i="1"/>
  <c r="C5279" i="1"/>
  <c r="C5278" i="1"/>
  <c r="C5277" i="1"/>
  <c r="C5276" i="1"/>
  <c r="C5275" i="1"/>
  <c r="C5274" i="1"/>
  <c r="C5273" i="1"/>
  <c r="C5272" i="1"/>
  <c r="C5271" i="1"/>
  <c r="C5270" i="1"/>
  <c r="C5269" i="1"/>
  <c r="C5268" i="1"/>
  <c r="C5267" i="1"/>
  <c r="C5266" i="1"/>
  <c r="C5265" i="1"/>
  <c r="C5264" i="1"/>
  <c r="C5263" i="1"/>
  <c r="C5262" i="1"/>
  <c r="C5261" i="1"/>
  <c r="C5260" i="1"/>
  <c r="C5259" i="1"/>
  <c r="C5258" i="1"/>
  <c r="C5257" i="1"/>
  <c r="C5256" i="1"/>
  <c r="C5255" i="1"/>
  <c r="C5254" i="1"/>
  <c r="C5253" i="1"/>
  <c r="C5252" i="1"/>
  <c r="C5251" i="1"/>
  <c r="C5250" i="1"/>
  <c r="C5249" i="1"/>
  <c r="C5248" i="1"/>
  <c r="C5247" i="1"/>
  <c r="C5246" i="1"/>
  <c r="C5245" i="1"/>
  <c r="C5244" i="1"/>
  <c r="C5243" i="1"/>
  <c r="C5242" i="1"/>
  <c r="C5241" i="1"/>
  <c r="C5240" i="1"/>
  <c r="C5239" i="1"/>
  <c r="C5238" i="1"/>
  <c r="C5237" i="1"/>
  <c r="C5236" i="1"/>
  <c r="C5235" i="1"/>
  <c r="C5234" i="1"/>
  <c r="C5233" i="1"/>
  <c r="C5232" i="1"/>
  <c r="C5231" i="1"/>
  <c r="C5230" i="1"/>
  <c r="C5229" i="1"/>
  <c r="C5228" i="1"/>
  <c r="C5227" i="1"/>
  <c r="C5226" i="1"/>
  <c r="C5225" i="1"/>
  <c r="C5224" i="1"/>
  <c r="C5223" i="1"/>
  <c r="C5222" i="1"/>
  <c r="C5221" i="1"/>
  <c r="C5220" i="1"/>
  <c r="C5219" i="1"/>
  <c r="C5218" i="1"/>
  <c r="C5217" i="1"/>
  <c r="C5216" i="1"/>
  <c r="C5215" i="1"/>
  <c r="C5214" i="1"/>
  <c r="C5213" i="1"/>
  <c r="C5212" i="1"/>
  <c r="C5211" i="1"/>
  <c r="C5210" i="1"/>
  <c r="C5209" i="1"/>
  <c r="C5208" i="1"/>
  <c r="C5207" i="1"/>
  <c r="C5206" i="1"/>
  <c r="C5205" i="1"/>
  <c r="C5204" i="1"/>
  <c r="C5203" i="1"/>
  <c r="C5202" i="1"/>
  <c r="C5201" i="1"/>
  <c r="C5200" i="1"/>
  <c r="C5199" i="1"/>
  <c r="C5198" i="1"/>
  <c r="C5197" i="1"/>
  <c r="C5196" i="1"/>
  <c r="C5195" i="1"/>
  <c r="C5194" i="1"/>
  <c r="C5193" i="1"/>
  <c r="C5192" i="1"/>
  <c r="C5191" i="1"/>
  <c r="C5190" i="1"/>
  <c r="C5189" i="1"/>
  <c r="C5188" i="1"/>
  <c r="C5187" i="1"/>
  <c r="C5186" i="1"/>
  <c r="C5185" i="1"/>
  <c r="C5184" i="1"/>
  <c r="C5183" i="1"/>
  <c r="C5182" i="1"/>
  <c r="C5181" i="1"/>
  <c r="C5180" i="1"/>
  <c r="C5179" i="1"/>
  <c r="C5178" i="1"/>
  <c r="C5177" i="1"/>
  <c r="C5176" i="1"/>
  <c r="C5175" i="1"/>
  <c r="C5174" i="1"/>
  <c r="C5173" i="1"/>
  <c r="C5172" i="1"/>
  <c r="C5171" i="1"/>
  <c r="C5170" i="1"/>
  <c r="C5169" i="1"/>
  <c r="C5168" i="1"/>
  <c r="C5167" i="1"/>
  <c r="C5166" i="1"/>
  <c r="C5165" i="1"/>
  <c r="C5164" i="1"/>
  <c r="C5163" i="1"/>
  <c r="C5162" i="1"/>
  <c r="C5161" i="1"/>
  <c r="C5160" i="1"/>
  <c r="C5159" i="1"/>
  <c r="C5158" i="1"/>
  <c r="C5157" i="1"/>
  <c r="C5156" i="1"/>
  <c r="C5155" i="1"/>
  <c r="C5154" i="1"/>
  <c r="C5153" i="1"/>
  <c r="C5152" i="1"/>
  <c r="C5151" i="1"/>
  <c r="C5150" i="1"/>
  <c r="C5149" i="1"/>
  <c r="C5148" i="1"/>
  <c r="C5147" i="1"/>
  <c r="C5146" i="1"/>
  <c r="C5145" i="1"/>
  <c r="C5144" i="1"/>
  <c r="C5143" i="1"/>
  <c r="C5142" i="1"/>
  <c r="C5141" i="1"/>
  <c r="C5140" i="1"/>
  <c r="C5139" i="1"/>
  <c r="C5138" i="1"/>
  <c r="C5137" i="1"/>
  <c r="C5136" i="1"/>
  <c r="C5135" i="1"/>
  <c r="C5134" i="1"/>
  <c r="C5133" i="1"/>
  <c r="C5132" i="1"/>
  <c r="C5131" i="1"/>
  <c r="C5130" i="1"/>
  <c r="C5129" i="1"/>
  <c r="C5128" i="1"/>
  <c r="C5127" i="1"/>
  <c r="C5126" i="1"/>
  <c r="C5125" i="1"/>
  <c r="C5124" i="1"/>
  <c r="C5123" i="1"/>
  <c r="C5122" i="1"/>
  <c r="C5121" i="1"/>
  <c r="C5120" i="1"/>
  <c r="C5119" i="1"/>
  <c r="C5118" i="1"/>
  <c r="C5117" i="1"/>
  <c r="C5116" i="1"/>
  <c r="C5115" i="1"/>
  <c r="C5114" i="1"/>
  <c r="C5113" i="1"/>
  <c r="C5112" i="1"/>
  <c r="C5111" i="1"/>
  <c r="C5110" i="1"/>
  <c r="C5109" i="1"/>
  <c r="C5108" i="1"/>
  <c r="C5107" i="1"/>
  <c r="C5106" i="1"/>
  <c r="C5105" i="1"/>
  <c r="C5104" i="1"/>
  <c r="C5103" i="1"/>
  <c r="C5102" i="1"/>
  <c r="C5101" i="1"/>
  <c r="C5100" i="1"/>
  <c r="C5099" i="1"/>
  <c r="C5098" i="1"/>
  <c r="C5097" i="1"/>
  <c r="C5096" i="1"/>
  <c r="C5095" i="1"/>
  <c r="C5094" i="1"/>
  <c r="C5093" i="1"/>
  <c r="C5092" i="1"/>
  <c r="C5091" i="1"/>
  <c r="C5090" i="1"/>
  <c r="C5089" i="1"/>
  <c r="C5088" i="1"/>
  <c r="C5087" i="1"/>
  <c r="C5086" i="1"/>
  <c r="C5085" i="1"/>
  <c r="C5084" i="1"/>
  <c r="C5083" i="1"/>
  <c r="C5082" i="1"/>
  <c r="C5081" i="1"/>
  <c r="C5080" i="1"/>
  <c r="C5079" i="1"/>
  <c r="C5078" i="1"/>
  <c r="C5077" i="1"/>
  <c r="C5076" i="1"/>
  <c r="C5075" i="1"/>
  <c r="C5074" i="1"/>
  <c r="C5073" i="1"/>
  <c r="C5072" i="1"/>
  <c r="C5071" i="1"/>
  <c r="C5070" i="1"/>
  <c r="C5069" i="1"/>
  <c r="C5068" i="1"/>
  <c r="C5067" i="1"/>
  <c r="C5066" i="1"/>
  <c r="C5065" i="1"/>
  <c r="C5064" i="1"/>
  <c r="C5063" i="1"/>
  <c r="C5062" i="1"/>
  <c r="C5061" i="1"/>
  <c r="C5060" i="1"/>
  <c r="C5059" i="1"/>
  <c r="C5058" i="1"/>
  <c r="C5057" i="1"/>
  <c r="C5056" i="1"/>
  <c r="C5055" i="1"/>
  <c r="C5054" i="1"/>
  <c r="C5053" i="1"/>
  <c r="C5052" i="1"/>
  <c r="C5051" i="1"/>
  <c r="C5050" i="1"/>
  <c r="C5049" i="1"/>
  <c r="C5048" i="1"/>
  <c r="C5047" i="1"/>
  <c r="C5046" i="1"/>
  <c r="C5045" i="1"/>
  <c r="C5044" i="1"/>
  <c r="C5043" i="1"/>
  <c r="C5042" i="1"/>
  <c r="C5041" i="1"/>
  <c r="C5040" i="1"/>
  <c r="C5039" i="1"/>
  <c r="C5038" i="1"/>
  <c r="C5037" i="1"/>
  <c r="C5036" i="1"/>
  <c r="C5035" i="1"/>
  <c r="C5034" i="1"/>
  <c r="C5033" i="1"/>
  <c r="C5032" i="1"/>
  <c r="C5031" i="1"/>
  <c r="C5030" i="1"/>
  <c r="C5029" i="1"/>
  <c r="C5028" i="1"/>
  <c r="C5027" i="1"/>
  <c r="C5026" i="1"/>
  <c r="C5025" i="1"/>
  <c r="C5024" i="1"/>
  <c r="C5023" i="1"/>
  <c r="C5022" i="1"/>
  <c r="C5021" i="1"/>
  <c r="C5020" i="1"/>
  <c r="C5019" i="1"/>
  <c r="C5018" i="1"/>
  <c r="C5017" i="1"/>
  <c r="C5016" i="1"/>
  <c r="C5015" i="1"/>
  <c r="C5014" i="1"/>
  <c r="C5013" i="1"/>
  <c r="C5012" i="1"/>
  <c r="C5011" i="1"/>
  <c r="C5010" i="1"/>
  <c r="C5009" i="1"/>
  <c r="C5008" i="1"/>
  <c r="C5007" i="1"/>
  <c r="C5006" i="1"/>
  <c r="C5005" i="1"/>
  <c r="C5004" i="1"/>
  <c r="C5003" i="1"/>
  <c r="C5002" i="1"/>
  <c r="C5001" i="1"/>
  <c r="C5000" i="1"/>
  <c r="C4999" i="1"/>
  <c r="C4998" i="1"/>
  <c r="C4997" i="1"/>
  <c r="C4996" i="1"/>
  <c r="C4995" i="1"/>
  <c r="C4994" i="1"/>
  <c r="C4993" i="1"/>
  <c r="C4992" i="1"/>
  <c r="C4991" i="1"/>
  <c r="C4990" i="1"/>
  <c r="C4989" i="1"/>
  <c r="C4988" i="1"/>
  <c r="C4987" i="1"/>
  <c r="C4986" i="1"/>
  <c r="C4985" i="1"/>
  <c r="C4984" i="1"/>
  <c r="C4983" i="1"/>
  <c r="C4982" i="1"/>
  <c r="C4981" i="1"/>
  <c r="C4980" i="1"/>
  <c r="C4979" i="1"/>
  <c r="C4978" i="1"/>
  <c r="C4977" i="1"/>
  <c r="C4976" i="1"/>
  <c r="C4975" i="1"/>
  <c r="C4974" i="1"/>
  <c r="C4973" i="1"/>
  <c r="C4972" i="1"/>
  <c r="C4971" i="1"/>
  <c r="C4970" i="1"/>
  <c r="C4969" i="1"/>
  <c r="C4968" i="1"/>
  <c r="C4967" i="1"/>
  <c r="C4966" i="1"/>
  <c r="C4965" i="1"/>
  <c r="C4964" i="1"/>
  <c r="C4963" i="1"/>
  <c r="C4962" i="1"/>
  <c r="C4961" i="1"/>
  <c r="C4960" i="1"/>
  <c r="C4959" i="1"/>
  <c r="C4958" i="1"/>
  <c r="C4957" i="1"/>
  <c r="C4956" i="1"/>
  <c r="C4955" i="1"/>
  <c r="C4954" i="1"/>
  <c r="C4953" i="1"/>
  <c r="C4952" i="1"/>
  <c r="C4951" i="1"/>
  <c r="C4950" i="1"/>
  <c r="C4949" i="1"/>
  <c r="C4948" i="1"/>
  <c r="C4947" i="1"/>
  <c r="C4946" i="1"/>
  <c r="C4945" i="1"/>
  <c r="C4944" i="1"/>
  <c r="C4943" i="1"/>
  <c r="C4942" i="1"/>
  <c r="C4941" i="1"/>
  <c r="C4940" i="1"/>
  <c r="C4939" i="1"/>
  <c r="C4938" i="1"/>
  <c r="C4937" i="1"/>
  <c r="C4936" i="1"/>
  <c r="C4935" i="1"/>
  <c r="C4934" i="1"/>
  <c r="C4933" i="1"/>
  <c r="C4932" i="1"/>
  <c r="C4931" i="1"/>
  <c r="C4930" i="1"/>
  <c r="C4929" i="1"/>
  <c r="C4928" i="1"/>
  <c r="C4927" i="1"/>
  <c r="C4926" i="1"/>
  <c r="C4925" i="1"/>
  <c r="C4924" i="1"/>
  <c r="C4923" i="1"/>
  <c r="C4922" i="1"/>
  <c r="C4921" i="1"/>
  <c r="C4920" i="1"/>
  <c r="C4919" i="1"/>
  <c r="C4918" i="1"/>
  <c r="C4917" i="1"/>
  <c r="C4916" i="1"/>
  <c r="C4915" i="1"/>
  <c r="C4914" i="1"/>
  <c r="C4913" i="1"/>
  <c r="C4912" i="1"/>
  <c r="C4911" i="1"/>
  <c r="C4910" i="1"/>
  <c r="C4909" i="1"/>
  <c r="C4908" i="1"/>
  <c r="C4907" i="1"/>
  <c r="C4906" i="1"/>
  <c r="C4905" i="1"/>
  <c r="C4904" i="1"/>
  <c r="C4903" i="1"/>
  <c r="C4902" i="1"/>
  <c r="C4901" i="1"/>
  <c r="C4900" i="1"/>
  <c r="C4899" i="1"/>
  <c r="C4898" i="1"/>
  <c r="C4897" i="1"/>
  <c r="C4896" i="1"/>
  <c r="C4895" i="1"/>
  <c r="C4894" i="1"/>
  <c r="C4893" i="1"/>
  <c r="C4892" i="1"/>
  <c r="C4891" i="1"/>
  <c r="C4890" i="1"/>
  <c r="C4889" i="1"/>
  <c r="C4888" i="1"/>
  <c r="C4887" i="1"/>
  <c r="C4886" i="1"/>
  <c r="C4885" i="1"/>
  <c r="C4884" i="1"/>
  <c r="C4883" i="1"/>
  <c r="C4882" i="1"/>
  <c r="C4881" i="1"/>
  <c r="C4880" i="1"/>
  <c r="C4879" i="1"/>
  <c r="C4878" i="1"/>
  <c r="C4877" i="1"/>
  <c r="C4876" i="1"/>
  <c r="C4875" i="1"/>
  <c r="C4874" i="1"/>
  <c r="C4873" i="1"/>
  <c r="C4872" i="1"/>
  <c r="C4871" i="1"/>
  <c r="C4870" i="1"/>
  <c r="C4869" i="1"/>
  <c r="C4868" i="1"/>
  <c r="C4867" i="1"/>
  <c r="C4866" i="1"/>
  <c r="C4865" i="1"/>
  <c r="C4864" i="1"/>
  <c r="C4863" i="1"/>
  <c r="C4862" i="1"/>
  <c r="C4861" i="1"/>
  <c r="C4860" i="1"/>
  <c r="C4859" i="1"/>
  <c r="C4858" i="1"/>
  <c r="C4857" i="1"/>
  <c r="C4856" i="1"/>
  <c r="C4855" i="1"/>
  <c r="C4854" i="1"/>
  <c r="C4853" i="1"/>
  <c r="C4852" i="1"/>
  <c r="C4851" i="1"/>
  <c r="C4850" i="1"/>
  <c r="C4849" i="1"/>
  <c r="C4848" i="1"/>
  <c r="C4847" i="1"/>
  <c r="C4846" i="1"/>
  <c r="C4845" i="1"/>
  <c r="C4844" i="1"/>
  <c r="C4843" i="1"/>
  <c r="C4842" i="1"/>
  <c r="C4841" i="1"/>
  <c r="C4840" i="1"/>
  <c r="C4839" i="1"/>
  <c r="C4838" i="1"/>
  <c r="C4837" i="1"/>
  <c r="C4836" i="1"/>
  <c r="C4835" i="1"/>
  <c r="C4834" i="1"/>
  <c r="C4833" i="1"/>
  <c r="C4832" i="1"/>
  <c r="C4831" i="1"/>
  <c r="C4830" i="1"/>
  <c r="C4829" i="1"/>
  <c r="C4828" i="1"/>
  <c r="C4827" i="1"/>
  <c r="C4826" i="1"/>
  <c r="C4825" i="1"/>
  <c r="C4824" i="1"/>
  <c r="C4823" i="1"/>
  <c r="C4822" i="1"/>
  <c r="C4821" i="1"/>
  <c r="C4820" i="1"/>
  <c r="C4819" i="1"/>
  <c r="C4818" i="1"/>
  <c r="C4817" i="1"/>
  <c r="C4816" i="1"/>
  <c r="C4815" i="1"/>
  <c r="C4814" i="1"/>
  <c r="C4813" i="1"/>
  <c r="C4812" i="1"/>
  <c r="C4811" i="1"/>
  <c r="C4810" i="1"/>
  <c r="C4809" i="1"/>
  <c r="C4808" i="1"/>
  <c r="C4807" i="1"/>
  <c r="C4806" i="1"/>
  <c r="C4805" i="1"/>
  <c r="C4804" i="1"/>
  <c r="C4803" i="1"/>
  <c r="C4802" i="1"/>
  <c r="C4801" i="1"/>
  <c r="C4800" i="1"/>
  <c r="C4799" i="1"/>
  <c r="C4798" i="1"/>
  <c r="C4797" i="1"/>
  <c r="C4796" i="1"/>
  <c r="C4795" i="1"/>
  <c r="C4794" i="1"/>
  <c r="C4793" i="1"/>
  <c r="C4792" i="1"/>
  <c r="C4791" i="1"/>
  <c r="C4790" i="1"/>
  <c r="C4789" i="1"/>
  <c r="C4788" i="1"/>
  <c r="C4787" i="1"/>
  <c r="C4786" i="1"/>
  <c r="C4785" i="1"/>
  <c r="C4784" i="1"/>
  <c r="C4783" i="1"/>
  <c r="C4782" i="1"/>
  <c r="C4781" i="1"/>
  <c r="C4780" i="1"/>
  <c r="C4779" i="1"/>
  <c r="C4778" i="1"/>
  <c r="C4777" i="1"/>
  <c r="C4776" i="1"/>
  <c r="C4775" i="1"/>
  <c r="C4774" i="1"/>
  <c r="C4773" i="1"/>
  <c r="C4772" i="1"/>
  <c r="C4771" i="1"/>
  <c r="C4770" i="1"/>
  <c r="C4769" i="1"/>
  <c r="C4768" i="1"/>
  <c r="C4767" i="1"/>
  <c r="C4766" i="1"/>
  <c r="C4765" i="1"/>
  <c r="C4764" i="1"/>
  <c r="C4763" i="1"/>
  <c r="C4762" i="1"/>
  <c r="C4761" i="1"/>
  <c r="C4760" i="1"/>
  <c r="C4759" i="1"/>
  <c r="C4758" i="1"/>
  <c r="C4757" i="1"/>
  <c r="C4756" i="1"/>
  <c r="C4755" i="1"/>
  <c r="C4754" i="1"/>
  <c r="C4753" i="1"/>
  <c r="C4752" i="1"/>
  <c r="C4751" i="1"/>
  <c r="C4750" i="1"/>
  <c r="C4749" i="1"/>
  <c r="C4748" i="1"/>
  <c r="C4747" i="1"/>
  <c r="C4746" i="1"/>
  <c r="C4745" i="1"/>
  <c r="C4744" i="1"/>
  <c r="C4743" i="1"/>
  <c r="C4742" i="1"/>
  <c r="C4741" i="1"/>
  <c r="C4740" i="1"/>
  <c r="C4739" i="1"/>
  <c r="C4738" i="1"/>
  <c r="C4737" i="1"/>
  <c r="C4736" i="1"/>
  <c r="C4735" i="1"/>
  <c r="C4734" i="1"/>
  <c r="C4733" i="1"/>
  <c r="C4732" i="1"/>
  <c r="C4731" i="1"/>
  <c r="C4730" i="1"/>
  <c r="C4729" i="1"/>
  <c r="C4728" i="1"/>
  <c r="C4727" i="1"/>
  <c r="C4726" i="1"/>
  <c r="C4725" i="1"/>
  <c r="C4724" i="1"/>
  <c r="C4723" i="1"/>
  <c r="C4722" i="1"/>
  <c r="C4721" i="1"/>
  <c r="C4720" i="1"/>
  <c r="C4719" i="1"/>
  <c r="C4718" i="1"/>
  <c r="C4717" i="1"/>
  <c r="C4716" i="1"/>
  <c r="C4715" i="1"/>
  <c r="C4714" i="1"/>
  <c r="C4713" i="1"/>
  <c r="C4712" i="1"/>
  <c r="C4711" i="1"/>
  <c r="C4710" i="1"/>
  <c r="C4709" i="1"/>
  <c r="C4708" i="1"/>
  <c r="C4707" i="1"/>
  <c r="C4706" i="1"/>
  <c r="C4705" i="1"/>
  <c r="C4704" i="1"/>
  <c r="C4703" i="1"/>
  <c r="C4702" i="1"/>
  <c r="C4701" i="1"/>
  <c r="C4700" i="1"/>
  <c r="C4699" i="1"/>
  <c r="C4698" i="1"/>
  <c r="C4697" i="1"/>
  <c r="C4696" i="1"/>
  <c r="C4695" i="1"/>
  <c r="C4694" i="1"/>
  <c r="C4693" i="1"/>
  <c r="C4692" i="1"/>
  <c r="C4691" i="1"/>
  <c r="C4690" i="1"/>
  <c r="C4689" i="1"/>
  <c r="C4688" i="1"/>
  <c r="C4687" i="1"/>
  <c r="C4686" i="1"/>
  <c r="C4685" i="1"/>
  <c r="C4684" i="1"/>
  <c r="C4683" i="1"/>
  <c r="C4682" i="1"/>
  <c r="C4681" i="1"/>
  <c r="C4680" i="1"/>
  <c r="C4679" i="1"/>
  <c r="C4678" i="1"/>
  <c r="C4677" i="1"/>
  <c r="C4676" i="1"/>
  <c r="C4675" i="1"/>
  <c r="C4674" i="1"/>
  <c r="C4673" i="1"/>
  <c r="C4672" i="1"/>
  <c r="C4671" i="1"/>
  <c r="C4670" i="1"/>
  <c r="C4669" i="1"/>
  <c r="C4668" i="1"/>
  <c r="C4667" i="1"/>
  <c r="C4666" i="1"/>
  <c r="C4665" i="1"/>
  <c r="C4664" i="1"/>
  <c r="C4663" i="1"/>
  <c r="C4662" i="1"/>
  <c r="C4661" i="1"/>
  <c r="C4660" i="1"/>
  <c r="C4659" i="1"/>
  <c r="C4658" i="1"/>
  <c r="C4657" i="1"/>
  <c r="C4656" i="1"/>
  <c r="C4655" i="1"/>
  <c r="C4654" i="1"/>
  <c r="C4653" i="1"/>
  <c r="C4652" i="1"/>
  <c r="C4651" i="1"/>
  <c r="C4650" i="1"/>
  <c r="C4649" i="1"/>
  <c r="C4648" i="1"/>
  <c r="C4647" i="1"/>
  <c r="C4646" i="1"/>
  <c r="C4645" i="1"/>
  <c r="C4644" i="1"/>
  <c r="C4643" i="1"/>
  <c r="C4642" i="1"/>
  <c r="C4641" i="1"/>
  <c r="C4640" i="1"/>
  <c r="C4639" i="1"/>
  <c r="C4638" i="1"/>
  <c r="C4637" i="1"/>
  <c r="C4636" i="1"/>
  <c r="C4635" i="1"/>
  <c r="C4634" i="1"/>
  <c r="C4633" i="1"/>
  <c r="C4632" i="1"/>
  <c r="C4631" i="1"/>
  <c r="C4630" i="1"/>
  <c r="C4629" i="1"/>
  <c r="C4628" i="1"/>
  <c r="C4627" i="1"/>
  <c r="C4626" i="1"/>
  <c r="C4625" i="1"/>
  <c r="C4624" i="1"/>
  <c r="C4623" i="1"/>
  <c r="C4622" i="1"/>
  <c r="C4621" i="1"/>
  <c r="C4620" i="1"/>
  <c r="C4619" i="1"/>
  <c r="C4618" i="1"/>
  <c r="C4617" i="1"/>
  <c r="C4616" i="1"/>
  <c r="C4615" i="1"/>
  <c r="C4614" i="1"/>
  <c r="C4613" i="1"/>
  <c r="C4612" i="1"/>
  <c r="C4611" i="1"/>
  <c r="C4610" i="1"/>
  <c r="C4609" i="1"/>
  <c r="C4608" i="1"/>
  <c r="C4607" i="1"/>
  <c r="C4606" i="1"/>
  <c r="C4605" i="1"/>
  <c r="C4604" i="1"/>
  <c r="C4603" i="1"/>
  <c r="C4602" i="1"/>
  <c r="C4601" i="1"/>
  <c r="C4600" i="1"/>
  <c r="C4599" i="1"/>
  <c r="C4598" i="1"/>
  <c r="C4597" i="1"/>
  <c r="C4596" i="1"/>
  <c r="C4595" i="1"/>
  <c r="C4594" i="1"/>
  <c r="C4593" i="1"/>
  <c r="C4592" i="1"/>
  <c r="C4591" i="1"/>
  <c r="C4590" i="1"/>
  <c r="C4589" i="1"/>
  <c r="C4588" i="1"/>
  <c r="C4587" i="1"/>
  <c r="C4586" i="1"/>
  <c r="C4585" i="1"/>
  <c r="C4584" i="1"/>
  <c r="C4583" i="1"/>
  <c r="C4582" i="1"/>
  <c r="C4581" i="1"/>
  <c r="C4580" i="1"/>
  <c r="C4579" i="1"/>
  <c r="C4578" i="1"/>
  <c r="C4577" i="1"/>
  <c r="C4576" i="1"/>
  <c r="C4575" i="1"/>
  <c r="C4574" i="1"/>
  <c r="C4573" i="1"/>
  <c r="C4572" i="1"/>
  <c r="C4571" i="1"/>
  <c r="C4570" i="1"/>
  <c r="C4569" i="1"/>
  <c r="C4568" i="1"/>
  <c r="C4567" i="1"/>
  <c r="C4566" i="1"/>
  <c r="C4565" i="1"/>
  <c r="C4564" i="1"/>
  <c r="C4563" i="1"/>
  <c r="C4562" i="1"/>
  <c r="C4561" i="1"/>
  <c r="C4560" i="1"/>
  <c r="C4559" i="1"/>
  <c r="C4558" i="1"/>
  <c r="C4557" i="1"/>
  <c r="C4556" i="1"/>
  <c r="C4555" i="1"/>
  <c r="C4554" i="1"/>
  <c r="C4553" i="1"/>
  <c r="C4552" i="1"/>
  <c r="C4551" i="1"/>
  <c r="C4550" i="1"/>
  <c r="C4549" i="1"/>
  <c r="C4548" i="1"/>
  <c r="C4547" i="1"/>
  <c r="C4546" i="1"/>
  <c r="C4545" i="1"/>
  <c r="C4544" i="1"/>
  <c r="C4543" i="1"/>
  <c r="C4542" i="1"/>
  <c r="C4541" i="1"/>
  <c r="C4540" i="1"/>
  <c r="C4539" i="1"/>
  <c r="C4538" i="1"/>
  <c r="C4537" i="1"/>
  <c r="C4536" i="1"/>
  <c r="C4535" i="1"/>
  <c r="C4534" i="1"/>
  <c r="C4533" i="1"/>
  <c r="C4532" i="1"/>
  <c r="C4531" i="1"/>
  <c r="C4530" i="1"/>
  <c r="C4529" i="1"/>
  <c r="C4528" i="1"/>
  <c r="C4527" i="1"/>
  <c r="C4526" i="1"/>
  <c r="C4525" i="1"/>
  <c r="C4524" i="1"/>
  <c r="C4523" i="1"/>
  <c r="C4522" i="1"/>
  <c r="C4521" i="1"/>
  <c r="C4520" i="1"/>
  <c r="C4519" i="1"/>
  <c r="C4518" i="1"/>
  <c r="C4517" i="1"/>
  <c r="C4516" i="1"/>
  <c r="C4515" i="1"/>
  <c r="C4514" i="1"/>
  <c r="C4513" i="1"/>
  <c r="C4512" i="1"/>
  <c r="C4511" i="1"/>
  <c r="C4510" i="1"/>
  <c r="C4509" i="1"/>
  <c r="C4508" i="1"/>
  <c r="C4507" i="1"/>
  <c r="C4506" i="1"/>
  <c r="C4505" i="1"/>
  <c r="C4504" i="1"/>
  <c r="C4503" i="1"/>
  <c r="C4502" i="1"/>
  <c r="C4501" i="1"/>
  <c r="C4500" i="1"/>
  <c r="C4499" i="1"/>
  <c r="C4498" i="1"/>
  <c r="C4497" i="1"/>
  <c r="C4496" i="1"/>
  <c r="C4495" i="1"/>
  <c r="C4494" i="1"/>
  <c r="C4493" i="1"/>
  <c r="C4492" i="1"/>
  <c r="C4491" i="1"/>
  <c r="C4490" i="1"/>
  <c r="C4489" i="1"/>
  <c r="C4488" i="1"/>
  <c r="C4487" i="1"/>
  <c r="C4486" i="1"/>
  <c r="C4485" i="1"/>
  <c r="C4484" i="1"/>
  <c r="C4483" i="1"/>
  <c r="C4482" i="1"/>
  <c r="C4481" i="1"/>
  <c r="C4480" i="1"/>
  <c r="C4479" i="1"/>
  <c r="C4478" i="1"/>
  <c r="C4477" i="1"/>
  <c r="C4476" i="1"/>
  <c r="C4475" i="1"/>
  <c r="C4474" i="1"/>
  <c r="C4473" i="1"/>
  <c r="C4472" i="1"/>
  <c r="C4471" i="1"/>
  <c r="C4470" i="1"/>
  <c r="C4469" i="1"/>
  <c r="C4468" i="1"/>
  <c r="C4467" i="1"/>
  <c r="C4466" i="1"/>
  <c r="C4465" i="1"/>
  <c r="C4464" i="1"/>
  <c r="C4463" i="1"/>
  <c r="C4462" i="1"/>
  <c r="C4461" i="1"/>
  <c r="C4460" i="1"/>
  <c r="C4459" i="1"/>
  <c r="C4458" i="1"/>
  <c r="C4457" i="1"/>
  <c r="C4456" i="1"/>
  <c r="C4455" i="1"/>
  <c r="C4454" i="1"/>
  <c r="C4453" i="1"/>
  <c r="C4452" i="1"/>
  <c r="C4451" i="1"/>
  <c r="C4450" i="1"/>
  <c r="C4449" i="1"/>
  <c r="C4448" i="1"/>
  <c r="C4447" i="1"/>
  <c r="C4446" i="1"/>
  <c r="C4445" i="1"/>
  <c r="C4444" i="1"/>
  <c r="C4443" i="1"/>
  <c r="C4442" i="1"/>
  <c r="C4441" i="1"/>
  <c r="C4440" i="1"/>
  <c r="C4439" i="1"/>
  <c r="C4438" i="1"/>
  <c r="C4437" i="1"/>
  <c r="C4436" i="1"/>
  <c r="C4435" i="1"/>
  <c r="C4434" i="1"/>
  <c r="C4433" i="1"/>
  <c r="C4432" i="1"/>
  <c r="C4431" i="1"/>
  <c r="C4430" i="1"/>
  <c r="C4429" i="1"/>
  <c r="C4428" i="1"/>
  <c r="C4427" i="1"/>
  <c r="C4426" i="1"/>
  <c r="C4425" i="1"/>
  <c r="C4424" i="1"/>
  <c r="C4423" i="1"/>
  <c r="C4422" i="1"/>
  <c r="C4421" i="1"/>
  <c r="C4420" i="1"/>
  <c r="C4419" i="1"/>
  <c r="C4418" i="1"/>
  <c r="C4417" i="1"/>
  <c r="C4416" i="1"/>
  <c r="C4415" i="1"/>
  <c r="C4414" i="1"/>
  <c r="C4413" i="1"/>
  <c r="C4412" i="1"/>
  <c r="C4411" i="1"/>
  <c r="C4410" i="1"/>
  <c r="C4409" i="1"/>
  <c r="C4408" i="1"/>
  <c r="C4407" i="1"/>
  <c r="C4406" i="1"/>
  <c r="C4405" i="1"/>
  <c r="C4404" i="1"/>
  <c r="C4403" i="1"/>
  <c r="C4402" i="1"/>
  <c r="C4401" i="1"/>
  <c r="C4400" i="1"/>
  <c r="C4399" i="1"/>
  <c r="C4398" i="1"/>
  <c r="C4397" i="1"/>
  <c r="C4396" i="1"/>
  <c r="C4395" i="1"/>
  <c r="C4394" i="1"/>
  <c r="C4393" i="1"/>
  <c r="C4392" i="1"/>
  <c r="C4391" i="1"/>
  <c r="C4390" i="1"/>
  <c r="C4389" i="1"/>
  <c r="C4388" i="1"/>
  <c r="C4387" i="1"/>
  <c r="C4386" i="1"/>
  <c r="C4385" i="1"/>
  <c r="C4384" i="1"/>
  <c r="C4383" i="1"/>
  <c r="C4382" i="1"/>
  <c r="C4381" i="1"/>
  <c r="C4380" i="1"/>
  <c r="C4379" i="1"/>
  <c r="C4378" i="1"/>
  <c r="C4377" i="1"/>
  <c r="C4376" i="1"/>
  <c r="C4375" i="1"/>
  <c r="C4374" i="1"/>
  <c r="C4373" i="1"/>
  <c r="C4372" i="1"/>
  <c r="C4371" i="1"/>
  <c r="C4370" i="1"/>
  <c r="C4369" i="1"/>
  <c r="C4368" i="1"/>
  <c r="C4367" i="1"/>
  <c r="C4366" i="1"/>
  <c r="C4365" i="1"/>
  <c r="C4364" i="1"/>
  <c r="C4363" i="1"/>
  <c r="C4362" i="1"/>
  <c r="C4361" i="1"/>
  <c r="C4360" i="1"/>
  <c r="C4359" i="1"/>
  <c r="C4358" i="1"/>
  <c r="C4357" i="1"/>
  <c r="C4356" i="1"/>
  <c r="C4355" i="1"/>
  <c r="C4354" i="1"/>
  <c r="C4353" i="1"/>
  <c r="C4352" i="1"/>
  <c r="C4351" i="1"/>
  <c r="C4350" i="1"/>
  <c r="C4349" i="1"/>
  <c r="C4348" i="1"/>
  <c r="C4347" i="1"/>
  <c r="C4346" i="1"/>
  <c r="C4345" i="1"/>
  <c r="C4344" i="1"/>
  <c r="C4343" i="1"/>
  <c r="C4342" i="1"/>
  <c r="C4341" i="1"/>
  <c r="C4340" i="1"/>
  <c r="C4339" i="1"/>
  <c r="C4338" i="1"/>
  <c r="C4337" i="1"/>
  <c r="C4336" i="1"/>
  <c r="C4335" i="1"/>
  <c r="C4334" i="1"/>
  <c r="C4333" i="1"/>
  <c r="C4332" i="1"/>
  <c r="C4331" i="1"/>
  <c r="C4330" i="1"/>
  <c r="C4329" i="1"/>
  <c r="C4328" i="1"/>
  <c r="C4327" i="1"/>
  <c r="C4326" i="1"/>
  <c r="C4325" i="1"/>
  <c r="C4324" i="1"/>
  <c r="C4323" i="1"/>
  <c r="C4322" i="1"/>
  <c r="C4321" i="1"/>
  <c r="C4320" i="1"/>
  <c r="C4319" i="1"/>
  <c r="C4318" i="1"/>
  <c r="C4317" i="1"/>
  <c r="C4316" i="1"/>
  <c r="C4315" i="1"/>
  <c r="C4314" i="1"/>
  <c r="C4313" i="1"/>
  <c r="C4312" i="1"/>
  <c r="C4311" i="1"/>
  <c r="C4310" i="1"/>
  <c r="C4309" i="1"/>
  <c r="C4308" i="1"/>
  <c r="C4307" i="1"/>
  <c r="C4306" i="1"/>
  <c r="C4305" i="1"/>
  <c r="C4304" i="1"/>
  <c r="C4303" i="1"/>
  <c r="C4302" i="1"/>
  <c r="C4301" i="1"/>
  <c r="C4300" i="1"/>
  <c r="C4299" i="1"/>
  <c r="C4298" i="1"/>
  <c r="C4297" i="1"/>
  <c r="C4296" i="1"/>
  <c r="C4295" i="1"/>
  <c r="C4294" i="1"/>
  <c r="C4293" i="1"/>
  <c r="C4292" i="1"/>
  <c r="C4291" i="1"/>
  <c r="C4290" i="1"/>
  <c r="C4289" i="1"/>
  <c r="C4288" i="1"/>
  <c r="C4287" i="1"/>
  <c r="C4286" i="1"/>
  <c r="C4285" i="1"/>
  <c r="C4284" i="1"/>
  <c r="C4283" i="1"/>
  <c r="C4282" i="1"/>
  <c r="C4281" i="1"/>
  <c r="C4280" i="1"/>
  <c r="C4279" i="1"/>
  <c r="C4278" i="1"/>
  <c r="C4277" i="1"/>
  <c r="C4276" i="1"/>
  <c r="C4275" i="1"/>
  <c r="C4274" i="1"/>
  <c r="C4273" i="1"/>
  <c r="C4272" i="1"/>
  <c r="C4271" i="1"/>
  <c r="C4270" i="1"/>
  <c r="C4269" i="1"/>
  <c r="C4268" i="1"/>
  <c r="C4267" i="1"/>
  <c r="C4266" i="1"/>
  <c r="C4265" i="1"/>
  <c r="C4264" i="1"/>
  <c r="C4263" i="1"/>
  <c r="C4262" i="1"/>
  <c r="C4261" i="1"/>
  <c r="C4260" i="1"/>
  <c r="C4259" i="1"/>
  <c r="C4258" i="1"/>
  <c r="C4257" i="1"/>
  <c r="C4256" i="1"/>
  <c r="C4255" i="1"/>
  <c r="C4254" i="1"/>
  <c r="C4253" i="1"/>
  <c r="C4252" i="1"/>
  <c r="C4251" i="1"/>
  <c r="C4250" i="1"/>
  <c r="C4249" i="1"/>
  <c r="C4248" i="1"/>
  <c r="C4247" i="1"/>
  <c r="C4246" i="1"/>
  <c r="C4245" i="1"/>
  <c r="C4244" i="1"/>
  <c r="C4243" i="1"/>
  <c r="C4242" i="1"/>
  <c r="C4241" i="1"/>
  <c r="C4240" i="1"/>
  <c r="C4239" i="1"/>
  <c r="C4238" i="1"/>
  <c r="C4237" i="1"/>
  <c r="C4236" i="1"/>
  <c r="C4235" i="1"/>
  <c r="C4234" i="1"/>
  <c r="C4233" i="1"/>
  <c r="C4232" i="1"/>
  <c r="C4231" i="1"/>
  <c r="C4230" i="1"/>
  <c r="C4229" i="1"/>
  <c r="C4228" i="1"/>
  <c r="C4227" i="1"/>
  <c r="C4226" i="1"/>
  <c r="C4225" i="1"/>
  <c r="C4224" i="1"/>
  <c r="C4223" i="1"/>
  <c r="C4222" i="1"/>
  <c r="C4221" i="1"/>
  <c r="C4220" i="1"/>
  <c r="C4219" i="1"/>
  <c r="C4218" i="1"/>
  <c r="C4217" i="1"/>
  <c r="C4216" i="1"/>
  <c r="C4215" i="1"/>
  <c r="C4214" i="1"/>
  <c r="C4213" i="1"/>
  <c r="C4212" i="1"/>
  <c r="C4211" i="1"/>
  <c r="C4210" i="1"/>
  <c r="C4209" i="1"/>
  <c r="C4208" i="1"/>
  <c r="C4207" i="1"/>
  <c r="C4206" i="1"/>
  <c r="C4205" i="1"/>
  <c r="C4204" i="1"/>
  <c r="C4203" i="1"/>
  <c r="C4202" i="1"/>
  <c r="C4201" i="1"/>
  <c r="C4200" i="1"/>
  <c r="C4199" i="1"/>
  <c r="C4198" i="1"/>
  <c r="C4197" i="1"/>
  <c r="C4196" i="1"/>
  <c r="C4195" i="1"/>
  <c r="C4194" i="1"/>
  <c r="C4193" i="1"/>
  <c r="C4192" i="1"/>
  <c r="C4191" i="1"/>
  <c r="C4190" i="1"/>
  <c r="C4189" i="1"/>
  <c r="C4188" i="1"/>
  <c r="C4187" i="1"/>
  <c r="C4186" i="1"/>
  <c r="C4185" i="1"/>
  <c r="C4184" i="1"/>
  <c r="C4183" i="1"/>
  <c r="C4182" i="1"/>
  <c r="C4181" i="1"/>
  <c r="C4180" i="1"/>
  <c r="C4179" i="1"/>
  <c r="C4178" i="1"/>
  <c r="C4177" i="1"/>
  <c r="C4176" i="1"/>
  <c r="C4175" i="1"/>
  <c r="C4174" i="1"/>
  <c r="C4173" i="1"/>
  <c r="C4172" i="1"/>
  <c r="C4171" i="1"/>
  <c r="C4170" i="1"/>
  <c r="C4169" i="1"/>
  <c r="C4168" i="1"/>
  <c r="C4167" i="1"/>
  <c r="C4166" i="1"/>
  <c r="C4165" i="1"/>
  <c r="C4164" i="1"/>
  <c r="C4163" i="1"/>
  <c r="C4162" i="1"/>
  <c r="C4161" i="1"/>
  <c r="C4160" i="1"/>
  <c r="C4159" i="1"/>
  <c r="C4158" i="1"/>
  <c r="C4157" i="1"/>
  <c r="C4156" i="1"/>
  <c r="C4155" i="1"/>
  <c r="C4154" i="1"/>
  <c r="C4153" i="1"/>
  <c r="C4152" i="1"/>
  <c r="C4151" i="1"/>
  <c r="C4150" i="1"/>
  <c r="C4149" i="1"/>
  <c r="C4148" i="1"/>
  <c r="C4147" i="1"/>
  <c r="C4146" i="1"/>
  <c r="C4145" i="1"/>
  <c r="C4144" i="1"/>
  <c r="C4143" i="1"/>
  <c r="C4142" i="1"/>
  <c r="C4141" i="1"/>
  <c r="C4140" i="1"/>
  <c r="C4139" i="1"/>
  <c r="C4138" i="1"/>
  <c r="C4137" i="1"/>
  <c r="C4136" i="1"/>
  <c r="C4135" i="1"/>
  <c r="C4134" i="1"/>
  <c r="C4133" i="1"/>
  <c r="C4132" i="1"/>
  <c r="C4131" i="1"/>
  <c r="C4130" i="1"/>
  <c r="C4129" i="1"/>
  <c r="C4128" i="1"/>
  <c r="C4127" i="1"/>
  <c r="C4126" i="1"/>
  <c r="C4125" i="1"/>
  <c r="C4124" i="1"/>
  <c r="C4123" i="1"/>
  <c r="C4122" i="1"/>
  <c r="C4121" i="1"/>
  <c r="C4120" i="1"/>
  <c r="C4119" i="1"/>
  <c r="C4118" i="1"/>
  <c r="C4117" i="1"/>
  <c r="C4116" i="1"/>
  <c r="C4115" i="1"/>
  <c r="C4114" i="1"/>
  <c r="C4113" i="1"/>
  <c r="C4112" i="1"/>
  <c r="C4111" i="1"/>
  <c r="C4110" i="1"/>
  <c r="C4109" i="1"/>
  <c r="C4108" i="1"/>
  <c r="C4107" i="1"/>
  <c r="C4106" i="1"/>
  <c r="C4105" i="1"/>
  <c r="C4104" i="1"/>
  <c r="C4103" i="1"/>
  <c r="C4102" i="1"/>
  <c r="C4101" i="1"/>
  <c r="C4100" i="1"/>
  <c r="C4099" i="1"/>
  <c r="C4098" i="1"/>
  <c r="C4097" i="1"/>
  <c r="C4096" i="1"/>
  <c r="C4095" i="1"/>
  <c r="C4094" i="1"/>
  <c r="C4093" i="1"/>
  <c r="C4092" i="1"/>
  <c r="C4091" i="1"/>
  <c r="C4090" i="1"/>
  <c r="C4089" i="1"/>
  <c r="C4088" i="1"/>
  <c r="C4087" i="1"/>
  <c r="C4086" i="1"/>
  <c r="C4085" i="1"/>
  <c r="C4084" i="1"/>
  <c r="C4083" i="1"/>
  <c r="C4082" i="1"/>
  <c r="C4081" i="1"/>
  <c r="C4080" i="1"/>
  <c r="C4079" i="1"/>
  <c r="C4078" i="1"/>
  <c r="C4077" i="1"/>
  <c r="C4076" i="1"/>
  <c r="C4075" i="1"/>
  <c r="C4074" i="1"/>
  <c r="C4073" i="1"/>
  <c r="C4072" i="1"/>
  <c r="C4071" i="1"/>
  <c r="C4070" i="1"/>
  <c r="C4069" i="1"/>
  <c r="C4068" i="1"/>
  <c r="C4067" i="1"/>
  <c r="C4066" i="1"/>
  <c r="C4065" i="1"/>
  <c r="C4064" i="1"/>
  <c r="C4063" i="1"/>
  <c r="C4062" i="1"/>
  <c r="C4061" i="1"/>
  <c r="C4060" i="1"/>
  <c r="C4059" i="1"/>
  <c r="C4058" i="1"/>
  <c r="C4057" i="1"/>
  <c r="C4056" i="1"/>
  <c r="C4055" i="1"/>
  <c r="C4054" i="1"/>
  <c r="C4053" i="1"/>
  <c r="C4052" i="1"/>
  <c r="C4051" i="1"/>
  <c r="C4050" i="1"/>
  <c r="C4049" i="1"/>
  <c r="C4048" i="1"/>
  <c r="C4047" i="1"/>
  <c r="C4046" i="1"/>
  <c r="C4045" i="1"/>
  <c r="C4044" i="1"/>
  <c r="C4043" i="1"/>
  <c r="C4042" i="1"/>
  <c r="C4041" i="1"/>
  <c r="C4040" i="1"/>
  <c r="C4039" i="1"/>
  <c r="C4038" i="1"/>
  <c r="C4037" i="1"/>
  <c r="C4036" i="1"/>
  <c r="C4035" i="1"/>
  <c r="C4034" i="1"/>
  <c r="C4033" i="1"/>
  <c r="C4032" i="1"/>
  <c r="C4031" i="1"/>
  <c r="C4030" i="1"/>
  <c r="C4029" i="1"/>
  <c r="C4028" i="1"/>
  <c r="C4027" i="1"/>
  <c r="C4026" i="1"/>
  <c r="C4025" i="1"/>
  <c r="C4024" i="1"/>
  <c r="C4023" i="1"/>
  <c r="C4022" i="1"/>
  <c r="C4021" i="1"/>
  <c r="C4020" i="1"/>
  <c r="C4019" i="1"/>
  <c r="C4018" i="1"/>
  <c r="C4017" i="1"/>
  <c r="C4016" i="1"/>
  <c r="C4015" i="1"/>
  <c r="C4014" i="1"/>
  <c r="C4013" i="1"/>
  <c r="C4012" i="1"/>
  <c r="C4011" i="1"/>
  <c r="C4010" i="1"/>
  <c r="C4009" i="1"/>
  <c r="C4008" i="1"/>
  <c r="C4007" i="1"/>
  <c r="C4006" i="1"/>
  <c r="C4005" i="1"/>
  <c r="C4004" i="1"/>
  <c r="C4003" i="1"/>
  <c r="C4002" i="1"/>
  <c r="C4001" i="1"/>
  <c r="C4000" i="1"/>
  <c r="C3999" i="1"/>
  <c r="C3998" i="1"/>
  <c r="C3997" i="1"/>
  <c r="C3996" i="1"/>
  <c r="C3995" i="1"/>
  <c r="C3994" i="1"/>
  <c r="C3993" i="1"/>
  <c r="C3992" i="1"/>
  <c r="C3991" i="1"/>
  <c r="C3990" i="1"/>
  <c r="C3989" i="1"/>
  <c r="C3988" i="1"/>
  <c r="C3987" i="1"/>
  <c r="C3986" i="1"/>
  <c r="C3985" i="1"/>
  <c r="C3984" i="1"/>
  <c r="C3983" i="1"/>
  <c r="C3982" i="1"/>
  <c r="C3981" i="1"/>
  <c r="C3980" i="1"/>
  <c r="C3979" i="1"/>
  <c r="C3978" i="1"/>
  <c r="C3977" i="1"/>
  <c r="C3976" i="1"/>
  <c r="C3975" i="1"/>
  <c r="C3974" i="1"/>
  <c r="C3973" i="1"/>
  <c r="C3972" i="1"/>
  <c r="C3971" i="1"/>
  <c r="C3970" i="1"/>
  <c r="C3969" i="1"/>
  <c r="C3968" i="1"/>
  <c r="C3967" i="1"/>
  <c r="C3966" i="1"/>
  <c r="C3965" i="1"/>
  <c r="C3964" i="1"/>
  <c r="C3963" i="1"/>
  <c r="C3962" i="1"/>
  <c r="C3961" i="1"/>
  <c r="C3960" i="1"/>
  <c r="C3959" i="1"/>
  <c r="C3958" i="1"/>
  <c r="C3957" i="1"/>
  <c r="C3956" i="1"/>
  <c r="C3955" i="1"/>
  <c r="C3954" i="1"/>
  <c r="C3953" i="1"/>
  <c r="C3952" i="1"/>
  <c r="C3951" i="1"/>
  <c r="C3950" i="1"/>
  <c r="C3949" i="1"/>
  <c r="C3948" i="1"/>
  <c r="C3947" i="1"/>
  <c r="C3946" i="1"/>
  <c r="C3945" i="1"/>
  <c r="C3944" i="1"/>
  <c r="C3943" i="1"/>
  <c r="C3942" i="1"/>
  <c r="C3941" i="1"/>
  <c r="C3940" i="1"/>
  <c r="C3939" i="1"/>
  <c r="C3938" i="1"/>
  <c r="C3937" i="1"/>
  <c r="C3936" i="1"/>
  <c r="C3935" i="1"/>
  <c r="C3934" i="1"/>
  <c r="C3933" i="1"/>
  <c r="C3932" i="1"/>
  <c r="C3931" i="1"/>
  <c r="C3930" i="1"/>
  <c r="C3929" i="1"/>
  <c r="C3928" i="1"/>
  <c r="C3927" i="1"/>
  <c r="C3926" i="1"/>
  <c r="C3925" i="1"/>
  <c r="C3924" i="1"/>
  <c r="C3923" i="1"/>
  <c r="C3922" i="1"/>
  <c r="C3921" i="1"/>
  <c r="C3920" i="1"/>
  <c r="C3919" i="1"/>
  <c r="C3918" i="1"/>
  <c r="C3917" i="1"/>
  <c r="C3916" i="1"/>
  <c r="C3915" i="1"/>
  <c r="C3914" i="1"/>
  <c r="C3913" i="1"/>
  <c r="C3912" i="1"/>
  <c r="C3911" i="1"/>
  <c r="C3910" i="1"/>
  <c r="C3909" i="1"/>
  <c r="C3908" i="1"/>
  <c r="C3907" i="1"/>
  <c r="C3906" i="1"/>
  <c r="C3905" i="1"/>
  <c r="C3904" i="1"/>
  <c r="C3903" i="1"/>
  <c r="C3902" i="1"/>
  <c r="C3901" i="1"/>
  <c r="C3900" i="1"/>
  <c r="C3899" i="1"/>
  <c r="C3898" i="1"/>
  <c r="C3897" i="1"/>
  <c r="C3896" i="1"/>
  <c r="C3895" i="1"/>
  <c r="C3894" i="1"/>
  <c r="C3893" i="1"/>
  <c r="C3892" i="1"/>
  <c r="C3891" i="1"/>
  <c r="C3890" i="1"/>
  <c r="C3889" i="1"/>
  <c r="C3888" i="1"/>
  <c r="C3887" i="1"/>
  <c r="C3886" i="1"/>
  <c r="C3885" i="1"/>
  <c r="C3884" i="1"/>
  <c r="C3883" i="1"/>
  <c r="C3882" i="1"/>
  <c r="C3881" i="1"/>
  <c r="C3880" i="1"/>
  <c r="C3879" i="1"/>
  <c r="C3878" i="1"/>
  <c r="C3877" i="1"/>
  <c r="C3876" i="1"/>
  <c r="C3875" i="1"/>
  <c r="C3874" i="1"/>
  <c r="C3873" i="1"/>
  <c r="C3872" i="1"/>
  <c r="C3871" i="1"/>
  <c r="C3870" i="1"/>
  <c r="C3869" i="1"/>
  <c r="C3868" i="1"/>
  <c r="C3867" i="1"/>
  <c r="C3866" i="1"/>
  <c r="C3865" i="1"/>
  <c r="C3864" i="1"/>
  <c r="C3863" i="1"/>
  <c r="C3862" i="1"/>
  <c r="C3861" i="1"/>
  <c r="C3860" i="1"/>
  <c r="C3859" i="1"/>
  <c r="C3858" i="1"/>
  <c r="C3857" i="1"/>
  <c r="C3856" i="1"/>
  <c r="C3855" i="1"/>
  <c r="C3854" i="1"/>
  <c r="C3853" i="1"/>
  <c r="C3852" i="1"/>
  <c r="C3851" i="1"/>
  <c r="C3850" i="1"/>
  <c r="C3849" i="1"/>
  <c r="C3848" i="1"/>
  <c r="C3847" i="1"/>
  <c r="C3846" i="1"/>
  <c r="C3845" i="1"/>
  <c r="C3844" i="1"/>
  <c r="C3843" i="1"/>
  <c r="C3842" i="1"/>
  <c r="C3841" i="1"/>
  <c r="C3840" i="1"/>
  <c r="C3839" i="1"/>
  <c r="C3838" i="1"/>
  <c r="C3837" i="1"/>
  <c r="C3836" i="1"/>
  <c r="C3835" i="1"/>
  <c r="C3834" i="1"/>
  <c r="C3833" i="1"/>
  <c r="C3832" i="1"/>
  <c r="C3831" i="1"/>
  <c r="C3830" i="1"/>
  <c r="C3829" i="1"/>
  <c r="C3828" i="1"/>
  <c r="C3827" i="1"/>
  <c r="C3826" i="1"/>
  <c r="C3825" i="1"/>
  <c r="C3824" i="1"/>
  <c r="C3823" i="1"/>
  <c r="C3822" i="1"/>
  <c r="C3821" i="1"/>
  <c r="C3820" i="1"/>
  <c r="C3819" i="1"/>
  <c r="C3818" i="1"/>
  <c r="C3817" i="1"/>
  <c r="C3816" i="1"/>
  <c r="C3815" i="1"/>
  <c r="C3814" i="1"/>
  <c r="C3813" i="1"/>
  <c r="C3812" i="1"/>
  <c r="C3811" i="1"/>
  <c r="C3810" i="1"/>
  <c r="C3809" i="1"/>
  <c r="C3808" i="1"/>
  <c r="C3807" i="1"/>
  <c r="C3806" i="1"/>
  <c r="C3805" i="1"/>
  <c r="C3804" i="1"/>
  <c r="C3803" i="1"/>
  <c r="C3802" i="1"/>
  <c r="C3801" i="1"/>
  <c r="C3800" i="1"/>
  <c r="C3799" i="1"/>
  <c r="C3798" i="1"/>
  <c r="C3797" i="1"/>
  <c r="C3796" i="1"/>
  <c r="C3795" i="1"/>
  <c r="C3794" i="1"/>
  <c r="C3793" i="1"/>
  <c r="C3792" i="1"/>
  <c r="C3791" i="1"/>
  <c r="C3790" i="1"/>
  <c r="C3789" i="1"/>
  <c r="C3788" i="1"/>
  <c r="C3787" i="1"/>
  <c r="C3786" i="1"/>
  <c r="C3785" i="1"/>
  <c r="C3784" i="1"/>
  <c r="C3783" i="1"/>
  <c r="C3782" i="1"/>
  <c r="C3781" i="1"/>
  <c r="C3780" i="1"/>
  <c r="C3779" i="1"/>
  <c r="C3778" i="1"/>
  <c r="C3777" i="1"/>
  <c r="C3776" i="1"/>
  <c r="C3775" i="1"/>
  <c r="C3774" i="1"/>
  <c r="C3773" i="1"/>
  <c r="C3772" i="1"/>
  <c r="C3771" i="1"/>
  <c r="C3770" i="1"/>
  <c r="C3769" i="1"/>
  <c r="C3768" i="1"/>
  <c r="C3767" i="1"/>
  <c r="C3766" i="1"/>
  <c r="C3765" i="1"/>
  <c r="C3764" i="1"/>
  <c r="C3763" i="1"/>
  <c r="C3762" i="1"/>
  <c r="C3761" i="1"/>
  <c r="C3760" i="1"/>
  <c r="C3759" i="1"/>
  <c r="C3758" i="1"/>
  <c r="C3757" i="1"/>
  <c r="C3756" i="1"/>
  <c r="C3755" i="1"/>
  <c r="C3754" i="1"/>
  <c r="C3753" i="1"/>
  <c r="C3752" i="1"/>
  <c r="C3751" i="1"/>
  <c r="C3750" i="1"/>
  <c r="C3749" i="1"/>
  <c r="C3748" i="1"/>
  <c r="C3747" i="1"/>
  <c r="C3746" i="1"/>
  <c r="C3745" i="1"/>
  <c r="C3744" i="1"/>
  <c r="C3743" i="1"/>
  <c r="C3742" i="1"/>
  <c r="C3741" i="1"/>
  <c r="C3740" i="1"/>
  <c r="C3739" i="1"/>
  <c r="C3738" i="1"/>
  <c r="C3737" i="1"/>
  <c r="C3736" i="1"/>
  <c r="C3735" i="1"/>
  <c r="C3734" i="1"/>
  <c r="C3733" i="1"/>
  <c r="C3732" i="1"/>
  <c r="C3731" i="1"/>
  <c r="C3730" i="1"/>
  <c r="C3729" i="1"/>
  <c r="C3728" i="1"/>
  <c r="C3727" i="1"/>
  <c r="C3726" i="1"/>
  <c r="C3725" i="1"/>
  <c r="C3724" i="1"/>
  <c r="C3723" i="1"/>
  <c r="C3722" i="1"/>
  <c r="C3721" i="1"/>
  <c r="C3720" i="1"/>
  <c r="C3719" i="1"/>
  <c r="C3718" i="1"/>
  <c r="C3717" i="1"/>
  <c r="C3716" i="1"/>
  <c r="C3715" i="1"/>
  <c r="C3714" i="1"/>
  <c r="C3713" i="1"/>
  <c r="C3712" i="1"/>
  <c r="C3711" i="1"/>
  <c r="C3710" i="1"/>
  <c r="C3709" i="1"/>
  <c r="C3708" i="1"/>
  <c r="C3707" i="1"/>
  <c r="C3706" i="1"/>
  <c r="C3705" i="1"/>
  <c r="C3704" i="1"/>
  <c r="C3703" i="1"/>
  <c r="C3702" i="1"/>
  <c r="C3701" i="1"/>
  <c r="C3700" i="1"/>
  <c r="C3699" i="1"/>
  <c r="C3698" i="1"/>
  <c r="C3697" i="1"/>
  <c r="C3696" i="1"/>
  <c r="C3695" i="1"/>
  <c r="C3694" i="1"/>
  <c r="C3693" i="1"/>
  <c r="C3692" i="1"/>
  <c r="C3691" i="1"/>
  <c r="C3690" i="1"/>
  <c r="C3689" i="1"/>
  <c r="C3688" i="1"/>
  <c r="C3687" i="1"/>
  <c r="C3686" i="1"/>
  <c r="C3685" i="1"/>
  <c r="C3684" i="1"/>
  <c r="C3683" i="1"/>
  <c r="C3682" i="1"/>
  <c r="C3681" i="1"/>
  <c r="C3680" i="1"/>
  <c r="C3679" i="1"/>
  <c r="C3678" i="1"/>
  <c r="C3677" i="1"/>
  <c r="C3676" i="1"/>
  <c r="C3675" i="1"/>
  <c r="C3674" i="1"/>
  <c r="C3673" i="1"/>
  <c r="C3672" i="1"/>
  <c r="C3671" i="1"/>
  <c r="C3670" i="1"/>
  <c r="C3669" i="1"/>
  <c r="C3668" i="1"/>
  <c r="C3667" i="1"/>
  <c r="C3666" i="1"/>
  <c r="C3665" i="1"/>
  <c r="C3664" i="1"/>
  <c r="C3663" i="1"/>
  <c r="C3662" i="1"/>
  <c r="C3661" i="1"/>
  <c r="C3660" i="1"/>
  <c r="C3659" i="1"/>
  <c r="C3658" i="1"/>
  <c r="C3657" i="1"/>
  <c r="C3656" i="1"/>
  <c r="C3655" i="1"/>
  <c r="C3654" i="1"/>
  <c r="C3653" i="1"/>
  <c r="C3652" i="1"/>
  <c r="C3651" i="1"/>
  <c r="C3650" i="1"/>
  <c r="C3649" i="1"/>
  <c r="C3648" i="1"/>
  <c r="C3647" i="1"/>
  <c r="C3646" i="1"/>
  <c r="C3645" i="1"/>
  <c r="C3644" i="1"/>
  <c r="C3643" i="1"/>
  <c r="C3642" i="1"/>
  <c r="C3641" i="1"/>
  <c r="C3640" i="1"/>
  <c r="C3639" i="1"/>
  <c r="C3638" i="1"/>
  <c r="C3637" i="1"/>
  <c r="C3636" i="1"/>
  <c r="C3635" i="1"/>
  <c r="C3634" i="1"/>
  <c r="C3633" i="1"/>
  <c r="C3632" i="1"/>
  <c r="C3631" i="1"/>
  <c r="C3630" i="1"/>
  <c r="C3629" i="1"/>
  <c r="C3628" i="1"/>
  <c r="C3627" i="1"/>
  <c r="C3626" i="1"/>
  <c r="C3625" i="1"/>
  <c r="C3624" i="1"/>
  <c r="C3623" i="1"/>
  <c r="C3622" i="1"/>
  <c r="C3621" i="1"/>
  <c r="C3620" i="1"/>
  <c r="C3619" i="1"/>
  <c r="C3618" i="1"/>
  <c r="C3617" i="1"/>
  <c r="C3616" i="1"/>
  <c r="C3615" i="1"/>
  <c r="C3614" i="1"/>
  <c r="C3613" i="1"/>
  <c r="C3612" i="1"/>
  <c r="C3611" i="1"/>
  <c r="C3610" i="1"/>
  <c r="C3609" i="1"/>
  <c r="C3608" i="1"/>
  <c r="C3607" i="1"/>
  <c r="C3606" i="1"/>
  <c r="C3605" i="1"/>
  <c r="C3604" i="1"/>
  <c r="C3603" i="1"/>
  <c r="C3602" i="1"/>
  <c r="C3601" i="1"/>
  <c r="C3600" i="1"/>
  <c r="C3599" i="1"/>
  <c r="C3598" i="1"/>
  <c r="C3597" i="1"/>
  <c r="C3596" i="1"/>
  <c r="C3595" i="1"/>
  <c r="C3594" i="1"/>
  <c r="C3593" i="1"/>
  <c r="C3592" i="1"/>
  <c r="C3591" i="1"/>
  <c r="C3590" i="1"/>
  <c r="C3589" i="1"/>
  <c r="C3588" i="1"/>
  <c r="C3587" i="1"/>
  <c r="C3586" i="1"/>
  <c r="C3585" i="1"/>
  <c r="C3584" i="1"/>
  <c r="C3583" i="1"/>
  <c r="C3582" i="1"/>
  <c r="C3581" i="1"/>
  <c r="C3580" i="1"/>
  <c r="C3579" i="1"/>
  <c r="C3578" i="1"/>
  <c r="C3577" i="1"/>
  <c r="C3576" i="1"/>
  <c r="C3575" i="1"/>
  <c r="C3574" i="1"/>
  <c r="C3573" i="1"/>
  <c r="C3572" i="1"/>
  <c r="C3571" i="1"/>
  <c r="C3570" i="1"/>
  <c r="C3569" i="1"/>
  <c r="C3568" i="1"/>
  <c r="C3567" i="1"/>
  <c r="C3566" i="1"/>
  <c r="C3565" i="1"/>
  <c r="C3564" i="1"/>
  <c r="C3563" i="1"/>
  <c r="C3562" i="1"/>
  <c r="C3561" i="1"/>
  <c r="C3560" i="1"/>
  <c r="C3559" i="1"/>
  <c r="C3558" i="1"/>
  <c r="C3557" i="1"/>
  <c r="C3556" i="1"/>
  <c r="C3555" i="1"/>
  <c r="C3554" i="1"/>
  <c r="C3553" i="1"/>
  <c r="C3552" i="1"/>
  <c r="C3551" i="1"/>
  <c r="C3550" i="1"/>
  <c r="C3549" i="1"/>
  <c r="C3548" i="1"/>
  <c r="C3547" i="1"/>
  <c r="C3546" i="1"/>
  <c r="C3545" i="1"/>
  <c r="C3544" i="1"/>
  <c r="C3543" i="1"/>
  <c r="C3542" i="1"/>
  <c r="C3541" i="1"/>
  <c r="C3540" i="1"/>
  <c r="C3539" i="1"/>
  <c r="C3538" i="1"/>
  <c r="C3537" i="1"/>
  <c r="C3536" i="1"/>
  <c r="C3535" i="1"/>
  <c r="C3534" i="1"/>
  <c r="C3533" i="1"/>
  <c r="C3532" i="1"/>
  <c r="C3531" i="1"/>
  <c r="C3530" i="1"/>
  <c r="C3529" i="1"/>
  <c r="C3528" i="1"/>
  <c r="C3527" i="1"/>
  <c r="C3526" i="1"/>
  <c r="C3525" i="1"/>
  <c r="C3524" i="1"/>
  <c r="C3523" i="1"/>
  <c r="C3522" i="1"/>
  <c r="C3521" i="1"/>
  <c r="C3520" i="1"/>
  <c r="C3519" i="1"/>
  <c r="C3518" i="1"/>
  <c r="C3517" i="1"/>
  <c r="C3516" i="1"/>
  <c r="C3515" i="1"/>
  <c r="C3514" i="1"/>
  <c r="C3513" i="1"/>
  <c r="C3512" i="1"/>
  <c r="C3511" i="1"/>
  <c r="C3510" i="1"/>
  <c r="C3509" i="1"/>
  <c r="C3508" i="1"/>
  <c r="C3507" i="1"/>
  <c r="C3506" i="1"/>
  <c r="C3505" i="1"/>
  <c r="C3504" i="1"/>
  <c r="C3503" i="1"/>
  <c r="C3502" i="1"/>
  <c r="C3501" i="1"/>
  <c r="C3500" i="1"/>
  <c r="C3499" i="1"/>
  <c r="C3498" i="1"/>
  <c r="C3497" i="1"/>
  <c r="C3496" i="1"/>
  <c r="C3495" i="1"/>
  <c r="C3494" i="1"/>
  <c r="C3493" i="1"/>
  <c r="C3492" i="1"/>
  <c r="C3491" i="1"/>
  <c r="C3490" i="1"/>
  <c r="C3489" i="1"/>
  <c r="C3488" i="1"/>
  <c r="C3487" i="1"/>
  <c r="C3486" i="1"/>
  <c r="C3485" i="1"/>
  <c r="C3484" i="1"/>
  <c r="C3483" i="1"/>
  <c r="C3482" i="1"/>
  <c r="C3481" i="1"/>
  <c r="C3480" i="1"/>
  <c r="C3479" i="1"/>
  <c r="C3478" i="1"/>
  <c r="C3477" i="1"/>
  <c r="C3476" i="1"/>
  <c r="C3475" i="1"/>
  <c r="C3474" i="1"/>
  <c r="C3473" i="1"/>
  <c r="C3472" i="1"/>
  <c r="C3471" i="1"/>
  <c r="C3470" i="1"/>
  <c r="C3469" i="1"/>
  <c r="C3468" i="1"/>
  <c r="C3467" i="1"/>
  <c r="C3466" i="1"/>
  <c r="C3465" i="1"/>
  <c r="C3464" i="1"/>
  <c r="C3463" i="1"/>
  <c r="C3462" i="1"/>
  <c r="C3461" i="1"/>
  <c r="C3460" i="1"/>
  <c r="C3459" i="1"/>
  <c r="C3458" i="1"/>
  <c r="C3457" i="1"/>
  <c r="C3456" i="1"/>
  <c r="C3455" i="1"/>
  <c r="C3454" i="1"/>
  <c r="C3453" i="1"/>
  <c r="C3452" i="1"/>
  <c r="C3451" i="1"/>
  <c r="C3450" i="1"/>
  <c r="C3449" i="1"/>
  <c r="C3448" i="1"/>
  <c r="C3447" i="1"/>
  <c r="C3446" i="1"/>
  <c r="C3445" i="1"/>
  <c r="C3444" i="1"/>
  <c r="C3443" i="1"/>
  <c r="C3442" i="1"/>
  <c r="C3441" i="1"/>
  <c r="C3440" i="1"/>
  <c r="C3439" i="1"/>
  <c r="C3438" i="1"/>
  <c r="C3437" i="1"/>
  <c r="C3436" i="1"/>
  <c r="C3435" i="1"/>
  <c r="C3434" i="1"/>
  <c r="C3433" i="1"/>
  <c r="C3432" i="1"/>
  <c r="C3431" i="1"/>
  <c r="C3430" i="1"/>
  <c r="C3429" i="1"/>
  <c r="C3428" i="1"/>
  <c r="C3427" i="1"/>
  <c r="C3426" i="1"/>
  <c r="C3425" i="1"/>
  <c r="C3424" i="1"/>
  <c r="C3423" i="1"/>
  <c r="C3422" i="1"/>
  <c r="C3421" i="1"/>
  <c r="C3420" i="1"/>
  <c r="C3419" i="1"/>
  <c r="C3418" i="1"/>
  <c r="C3417" i="1"/>
  <c r="C3416" i="1"/>
  <c r="C3415" i="1"/>
  <c r="C3414" i="1"/>
  <c r="C3413" i="1"/>
  <c r="C3412" i="1"/>
  <c r="C3411" i="1"/>
  <c r="C3410" i="1"/>
  <c r="C3409" i="1"/>
  <c r="C3408" i="1"/>
  <c r="C3407" i="1"/>
  <c r="C3406" i="1"/>
  <c r="C3405" i="1"/>
  <c r="C3404" i="1"/>
  <c r="C3403" i="1"/>
  <c r="C3402" i="1"/>
  <c r="C3401" i="1"/>
  <c r="C3400" i="1"/>
  <c r="C3399" i="1"/>
  <c r="C3398" i="1"/>
  <c r="C3397" i="1"/>
  <c r="C3396" i="1"/>
  <c r="C3395" i="1"/>
  <c r="C3394" i="1"/>
  <c r="C3393" i="1"/>
  <c r="C3392" i="1"/>
  <c r="C3391" i="1"/>
  <c r="C3390" i="1"/>
  <c r="C3389" i="1"/>
  <c r="C3388" i="1"/>
  <c r="C3387" i="1"/>
  <c r="C3386" i="1"/>
  <c r="C3385" i="1"/>
  <c r="C3384" i="1"/>
  <c r="C3383" i="1"/>
  <c r="C3382" i="1"/>
  <c r="C3381" i="1"/>
  <c r="C3380" i="1"/>
  <c r="C3379" i="1"/>
  <c r="C3378" i="1"/>
  <c r="C3377" i="1"/>
  <c r="C3376" i="1"/>
  <c r="C3375" i="1"/>
  <c r="C3374" i="1"/>
  <c r="C3373" i="1"/>
  <c r="C3372" i="1"/>
  <c r="C3371" i="1"/>
  <c r="C3370" i="1"/>
  <c r="C3369" i="1"/>
  <c r="C3368" i="1"/>
  <c r="C3367" i="1"/>
  <c r="C3366" i="1"/>
  <c r="C3365" i="1"/>
  <c r="C3364" i="1"/>
  <c r="C3363" i="1"/>
  <c r="C3362" i="1"/>
  <c r="C3361" i="1"/>
  <c r="C3360" i="1"/>
  <c r="C3359" i="1"/>
  <c r="C3358" i="1"/>
  <c r="C3357" i="1"/>
  <c r="C3356" i="1"/>
  <c r="C3355" i="1"/>
  <c r="C3354" i="1"/>
  <c r="C3353" i="1"/>
  <c r="C3352" i="1"/>
  <c r="C3351" i="1"/>
  <c r="C3350" i="1"/>
  <c r="C3349" i="1"/>
  <c r="C3348" i="1"/>
  <c r="C3347" i="1"/>
  <c r="C3346" i="1"/>
  <c r="C3345" i="1"/>
  <c r="C3344" i="1"/>
  <c r="C3343" i="1"/>
  <c r="C3342" i="1"/>
  <c r="C3341" i="1"/>
  <c r="C3340" i="1"/>
  <c r="C3339" i="1"/>
  <c r="C3338" i="1"/>
  <c r="C3337" i="1"/>
  <c r="C3336" i="1"/>
  <c r="C3335" i="1"/>
  <c r="C3334" i="1"/>
  <c r="C3333" i="1"/>
  <c r="C3332" i="1"/>
  <c r="C3331" i="1"/>
  <c r="C3330" i="1"/>
  <c r="C3329" i="1"/>
  <c r="C3328" i="1"/>
  <c r="C3327" i="1"/>
  <c r="C3326" i="1"/>
  <c r="C3325" i="1"/>
  <c r="C3324" i="1"/>
  <c r="C3323" i="1"/>
  <c r="C3322" i="1"/>
  <c r="C3321" i="1"/>
  <c r="C3320" i="1"/>
  <c r="C3319" i="1"/>
  <c r="C3318" i="1"/>
  <c r="C3317" i="1"/>
  <c r="C3316" i="1"/>
  <c r="C3315" i="1"/>
  <c r="C3314" i="1"/>
  <c r="C3313" i="1"/>
  <c r="C3312" i="1"/>
  <c r="C3311" i="1"/>
  <c r="C3310" i="1"/>
  <c r="C3309" i="1"/>
  <c r="C3308" i="1"/>
  <c r="C3307" i="1"/>
  <c r="C3306" i="1"/>
  <c r="C3305" i="1"/>
  <c r="C3304" i="1"/>
  <c r="C3303" i="1"/>
  <c r="C3302" i="1"/>
  <c r="C3301" i="1"/>
  <c r="C3300" i="1"/>
  <c r="C3299" i="1"/>
  <c r="C3298" i="1"/>
  <c r="C3297" i="1"/>
  <c r="C3296" i="1"/>
  <c r="C3295" i="1"/>
  <c r="C3294" i="1"/>
  <c r="C3293" i="1"/>
  <c r="C3292" i="1"/>
  <c r="C3291" i="1"/>
  <c r="C3290" i="1"/>
  <c r="C3289" i="1"/>
  <c r="C3288" i="1"/>
  <c r="C3287" i="1"/>
  <c r="C3286" i="1"/>
  <c r="C3285" i="1"/>
  <c r="C3284" i="1"/>
  <c r="C3283" i="1"/>
  <c r="C3282" i="1"/>
  <c r="C3281" i="1"/>
  <c r="C3280" i="1"/>
  <c r="C3279" i="1"/>
  <c r="C3278" i="1"/>
  <c r="C3277" i="1"/>
  <c r="C3276" i="1"/>
  <c r="C3275" i="1"/>
  <c r="C3274" i="1"/>
  <c r="C3273" i="1"/>
  <c r="C3272" i="1"/>
  <c r="C3271" i="1"/>
  <c r="C3270" i="1"/>
  <c r="C3269" i="1"/>
  <c r="C3268" i="1"/>
  <c r="C3267" i="1"/>
  <c r="C3266" i="1"/>
  <c r="C3265" i="1"/>
  <c r="C3264" i="1"/>
  <c r="C3263" i="1"/>
  <c r="C3262" i="1"/>
  <c r="C3261" i="1"/>
  <c r="C3260" i="1"/>
  <c r="C3259" i="1"/>
  <c r="C3258" i="1"/>
  <c r="C3257" i="1"/>
  <c r="C3256" i="1"/>
  <c r="C3255" i="1"/>
  <c r="C3254" i="1"/>
  <c r="C3253" i="1"/>
  <c r="C3252" i="1"/>
  <c r="C3251" i="1"/>
  <c r="C3250" i="1"/>
  <c r="C3249" i="1"/>
  <c r="C3248" i="1"/>
  <c r="C3247" i="1"/>
  <c r="C3246" i="1"/>
  <c r="C3245" i="1"/>
  <c r="C3244" i="1"/>
  <c r="C3243" i="1"/>
  <c r="C3242" i="1"/>
  <c r="C3241" i="1"/>
  <c r="C3240" i="1"/>
  <c r="C3239" i="1"/>
  <c r="C3238" i="1"/>
  <c r="C3237" i="1"/>
  <c r="C3236" i="1"/>
  <c r="C3235" i="1"/>
  <c r="C3234" i="1"/>
  <c r="C3233" i="1"/>
  <c r="C3232" i="1"/>
  <c r="C3231" i="1"/>
  <c r="C3230" i="1"/>
  <c r="C3229" i="1"/>
  <c r="C3228" i="1"/>
  <c r="C3227" i="1"/>
  <c r="C3226" i="1"/>
  <c r="C3225" i="1"/>
  <c r="C3224" i="1"/>
  <c r="C3223" i="1"/>
  <c r="C3222" i="1"/>
  <c r="C3221" i="1"/>
  <c r="C3220" i="1"/>
  <c r="C3219" i="1"/>
  <c r="C3218" i="1"/>
  <c r="C3217" i="1"/>
  <c r="C3216" i="1"/>
  <c r="C3215" i="1"/>
  <c r="C3214" i="1"/>
  <c r="C3213" i="1"/>
  <c r="C3212" i="1"/>
  <c r="C3211" i="1"/>
  <c r="C3210" i="1"/>
  <c r="C3209" i="1"/>
  <c r="C3208" i="1"/>
  <c r="C3207" i="1"/>
  <c r="C3206" i="1"/>
  <c r="C3205" i="1"/>
  <c r="C3204" i="1"/>
  <c r="C3203" i="1"/>
  <c r="C3202" i="1"/>
  <c r="C3201" i="1"/>
  <c r="C3200" i="1"/>
  <c r="C3199" i="1"/>
  <c r="C3198" i="1"/>
  <c r="C3197" i="1"/>
  <c r="C3196" i="1"/>
  <c r="C3195" i="1"/>
  <c r="C3194" i="1"/>
  <c r="C3193" i="1"/>
  <c r="C3192" i="1"/>
  <c r="C3191" i="1"/>
  <c r="C3190" i="1"/>
  <c r="C3189" i="1"/>
  <c r="C3188" i="1"/>
  <c r="C3187" i="1"/>
  <c r="C3186" i="1"/>
  <c r="C3185" i="1"/>
  <c r="C3184" i="1"/>
  <c r="C3183" i="1"/>
  <c r="C3182" i="1"/>
  <c r="C3181" i="1"/>
  <c r="C3180" i="1"/>
  <c r="C3179" i="1"/>
  <c r="C3178" i="1"/>
  <c r="C3177" i="1"/>
  <c r="C3176" i="1"/>
  <c r="C3175" i="1"/>
  <c r="C3174" i="1"/>
  <c r="C3173" i="1"/>
  <c r="C3172" i="1"/>
  <c r="C3171" i="1"/>
  <c r="C3170" i="1"/>
  <c r="C3169" i="1"/>
  <c r="C3168" i="1"/>
  <c r="C3167" i="1"/>
  <c r="C3166" i="1"/>
  <c r="C3165" i="1"/>
  <c r="C3164" i="1"/>
  <c r="C3163" i="1"/>
  <c r="C3162" i="1"/>
  <c r="C3161" i="1"/>
  <c r="C3160" i="1"/>
  <c r="C3159" i="1"/>
  <c r="C3158" i="1"/>
  <c r="C3157" i="1"/>
  <c r="C3156" i="1"/>
  <c r="C3155" i="1"/>
  <c r="C3154" i="1"/>
  <c r="C3153" i="1"/>
  <c r="C3152" i="1"/>
  <c r="C3151" i="1"/>
  <c r="C3150" i="1"/>
  <c r="C3149" i="1"/>
  <c r="C3148" i="1"/>
  <c r="C3147" i="1"/>
  <c r="C3146" i="1"/>
  <c r="C3145" i="1"/>
  <c r="C3144" i="1"/>
  <c r="C3143" i="1"/>
  <c r="C3142" i="1"/>
  <c r="C3141" i="1"/>
  <c r="C3140" i="1"/>
  <c r="C3139" i="1"/>
  <c r="C3138" i="1"/>
  <c r="C3137" i="1"/>
  <c r="C3136" i="1"/>
  <c r="C3135" i="1"/>
  <c r="C3134" i="1"/>
  <c r="C3133" i="1"/>
  <c r="C3132" i="1"/>
  <c r="C3131" i="1"/>
  <c r="C3130" i="1"/>
  <c r="C3129" i="1"/>
  <c r="C3128" i="1"/>
  <c r="C3127" i="1"/>
  <c r="C3126" i="1"/>
  <c r="C3125" i="1"/>
  <c r="C3124" i="1"/>
  <c r="C3123" i="1"/>
  <c r="C3122" i="1"/>
  <c r="C3121" i="1"/>
  <c r="C3120" i="1"/>
  <c r="C3119" i="1"/>
  <c r="C3118" i="1"/>
  <c r="C3117" i="1"/>
  <c r="C3116" i="1"/>
  <c r="C3115" i="1"/>
  <c r="C3114" i="1"/>
  <c r="C3113" i="1"/>
  <c r="C3112" i="1"/>
  <c r="C3111" i="1"/>
  <c r="C3110" i="1"/>
  <c r="C3109" i="1"/>
  <c r="C3108" i="1"/>
  <c r="C3107" i="1"/>
  <c r="C3106" i="1"/>
  <c r="C3105" i="1"/>
  <c r="C3104" i="1"/>
  <c r="C3103" i="1"/>
  <c r="C3102" i="1"/>
  <c r="C3101" i="1"/>
  <c r="C3100" i="1"/>
  <c r="C3099" i="1"/>
  <c r="C3098" i="1"/>
  <c r="C3097" i="1"/>
  <c r="C3096" i="1"/>
  <c r="C3095" i="1"/>
  <c r="C3094" i="1"/>
  <c r="C3093" i="1"/>
  <c r="C3092" i="1"/>
  <c r="C3091" i="1"/>
  <c r="C3090" i="1"/>
  <c r="C3089" i="1"/>
  <c r="C3088" i="1"/>
  <c r="C3087" i="1"/>
  <c r="C3086" i="1"/>
  <c r="C3085" i="1"/>
  <c r="C3084" i="1"/>
  <c r="C3083" i="1"/>
  <c r="C3082" i="1"/>
  <c r="C3081" i="1"/>
  <c r="C3080" i="1"/>
  <c r="C3079" i="1"/>
  <c r="C3078" i="1"/>
  <c r="C3077" i="1"/>
  <c r="C3076" i="1"/>
  <c r="C3075" i="1"/>
  <c r="C3074" i="1"/>
  <c r="C3073" i="1"/>
  <c r="C3072" i="1"/>
  <c r="C3071" i="1"/>
  <c r="C3070" i="1"/>
  <c r="C3069" i="1"/>
  <c r="C3068" i="1"/>
  <c r="C3067" i="1"/>
  <c r="C3066" i="1"/>
  <c r="C3065" i="1"/>
  <c r="C3064" i="1"/>
  <c r="C3063" i="1"/>
  <c r="C3062" i="1"/>
  <c r="C3061" i="1"/>
  <c r="C3060" i="1"/>
  <c r="C3059" i="1"/>
  <c r="C3058" i="1"/>
  <c r="C3057" i="1"/>
  <c r="C3056" i="1"/>
  <c r="C3055" i="1"/>
  <c r="C3054" i="1"/>
  <c r="C3053" i="1"/>
  <c r="C3052" i="1"/>
  <c r="C3051" i="1"/>
  <c r="C3050" i="1"/>
  <c r="C3049" i="1"/>
  <c r="C3048" i="1"/>
  <c r="C3047" i="1"/>
  <c r="C3046" i="1"/>
  <c r="C3045" i="1"/>
  <c r="C3044" i="1"/>
  <c r="C3043" i="1"/>
  <c r="C3042" i="1"/>
  <c r="C3041" i="1"/>
  <c r="C3040" i="1"/>
  <c r="C3039" i="1"/>
  <c r="C3038" i="1"/>
  <c r="C3037" i="1"/>
  <c r="C3036" i="1"/>
  <c r="C3035" i="1"/>
  <c r="C3034" i="1"/>
  <c r="C3033" i="1"/>
  <c r="C3032" i="1"/>
  <c r="C3031" i="1"/>
  <c r="C3030" i="1"/>
  <c r="C3029" i="1"/>
  <c r="C3028" i="1"/>
  <c r="C3027" i="1"/>
  <c r="C3026" i="1"/>
  <c r="C3025" i="1"/>
  <c r="C3024" i="1"/>
  <c r="C3023" i="1"/>
  <c r="C3022" i="1"/>
  <c r="C3021" i="1"/>
  <c r="C3020" i="1"/>
  <c r="C3019" i="1"/>
  <c r="C3018" i="1"/>
  <c r="C3017" i="1"/>
  <c r="C3016" i="1"/>
  <c r="C3015" i="1"/>
  <c r="C3014" i="1"/>
  <c r="C3013" i="1"/>
  <c r="C3012" i="1"/>
  <c r="C3011" i="1"/>
  <c r="C3010" i="1"/>
  <c r="C3009" i="1"/>
  <c r="C3008" i="1"/>
  <c r="C3007" i="1"/>
  <c r="C3006" i="1"/>
  <c r="C3005" i="1"/>
  <c r="C3004" i="1"/>
  <c r="C3003" i="1"/>
  <c r="C3002" i="1"/>
  <c r="C3001" i="1"/>
  <c r="C3000" i="1"/>
  <c r="C2999" i="1"/>
  <c r="C2998" i="1"/>
  <c r="C2997" i="1"/>
  <c r="C2996" i="1"/>
  <c r="C2995" i="1"/>
  <c r="C2994" i="1"/>
  <c r="C2993" i="1"/>
  <c r="C2992" i="1"/>
  <c r="C2991" i="1"/>
  <c r="C2990" i="1"/>
  <c r="C2989" i="1"/>
  <c r="C2988" i="1"/>
  <c r="C2987" i="1"/>
  <c r="C2986" i="1"/>
  <c r="C2985" i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<sst xmlns="http://schemas.openxmlformats.org/spreadsheetml/2006/main" count="28546" uniqueCount="721">
  <si>
    <t>Дом</t>
  </si>
  <si>
    <t>Квартира</t>
  </si>
  <si>
    <t>Код плательщика</t>
  </si>
  <si>
    <t>Долг. Все услуги</t>
  </si>
  <si>
    <t>Беломорская ул., дом 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</si>
  <si>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</si>
  <si>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</si>
  <si>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</si>
  <si>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</si>
  <si>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</si>
  <si>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</si>
  <si>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</si>
  <si>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</si>
  <si>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</si>
  <si>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</si>
  <si>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</si>
  <si>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</si>
  <si>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</si>
  <si>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</si>
  <si>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</si>
  <si>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</si>
  <si>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</si>
  <si>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</si>
  <si>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</si>
  <si>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</si>
  <si>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</si>
  <si>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</si>
  <si>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</si>
  <si>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</si>
  <si>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</si>
  <si>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</si>
  <si>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</si>
  <si>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</si>
  <si>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</si>
  <si>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</si>
  <si>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</si>
  <si>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</si>
  <si>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</si>
  <si>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</si>
  <si>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</si>
  <si>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</si>
  <si>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</si>
  <si>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</si>
  <si>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</si>
  <si>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</si>
  <si>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</si>
  <si>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</si>
  <si>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</si>
  <si>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</si>
  <si>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</si>
  <si>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</si>
  <si>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</si>
  <si>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</si>
  <si>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</si>
  <si>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</si>
  <si>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</si>
  <si>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</si>
  <si>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</si>
  <si>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</si>
  <si>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</si>
  <si>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</si>
  <si>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</si>
  <si>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</si>
  <si>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</si>
  <si>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</si>
  <si>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</si>
  <si>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</si>
  <si>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</si>
  <si>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</si>
  <si>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</si>
  <si>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</si>
  <si>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</si>
  <si>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</si>
  <si>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</si>
  <si>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</si>
  <si>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</si>
  <si>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</si>
  <si>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</si>
  <si>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</si>
  <si>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</si>
  <si>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</si>
  <si>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</si>
  <si>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</si>
  <si>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</si>
  <si>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</si>
  <si>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</si>
  <si>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</si>
  <si>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</si>
  <si>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</si>
  <si>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</si>
  <si>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</si>
  <si>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</si>
  <si>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</si>
  <si>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</si>
  <si>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</si>
  <si>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</si>
  <si>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</si>
  <si>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</si>
  <si>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</si>
  <si>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</si>
  <si>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</si>
  <si>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</si>
  <si>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</si>
  <si>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</si>
  <si>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</si>
  <si>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</si>
  <si>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</si>
  <si>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</si>
  <si>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</si>
  <si>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</si>
  <si>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</si>
  <si>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</si>
  <si>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</si>
  <si>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</si>
  <si>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</si>
  <si>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</si>
  <si>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</si>
  <si>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</si>
  <si>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</si>
  <si>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</si>
  <si>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</si>
  <si>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</si>
  <si>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</si>
  <si>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</si>
  <si>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</si>
  <si>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</si>
  <si>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</si>
  <si>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</si>
  <si>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</si>
  <si>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</si>
  <si>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</si>
  <si>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</si>
  <si>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</si>
  <si>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</si>
  <si>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</si>
  <si>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</si>
  <si>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</si>
  <si>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</si>
  <si>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</si>
  <si>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</si>
  <si>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</si>
  <si>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</si>
  <si>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</si>
  <si>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</si>
  <si>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</si>
  <si>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</si>
  <si>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</si>
  <si>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</si>
  <si>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</si>
  <si>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</si>
  <si>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</si>
  <si>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</si>
  <si>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</si>
  <si>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</si>
  <si>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</si>
  <si>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</si>
  <si>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</si>
  <si>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</si>
  <si>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</si>
  <si>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</si>
  <si>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</si>
  <si>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</si>
  <si>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</si>
  <si>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</si>
  <si>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</si>
  <si>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</si>
  <si>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</si>
  <si>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</si>
  <si>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</si>
  <si>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</si>
  <si>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</si>
  <si>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</si>
  <si>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</si>
  <si>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</si>
  <si>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</si>
  <si>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</si>
  <si>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</si>
  <si>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</si>
  <si>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</si>
  <si>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</si>
  <si>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</si>
  <si>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</si>
  <si>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</si>
  <si>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</si>
  <si>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</si>
  <si>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</si>
  <si>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</si>
  <si>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</si>
  <si>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</si>
  <si>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</si>
  <si>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</si>
  <si>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</si>
  <si>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</si>
  <si>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</si>
  <si>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</si>
  <si>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</si>
  <si>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</si>
  <si>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</si>
  <si>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</si>
  <si>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</si>
  <si>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</si>
  <si>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</si>
  <si>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</si>
  <si>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</si>
  <si>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</si>
  <si>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</si>
  <si>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</si>
  <si>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</si>
  <si>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</si>
  <si>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</si>
  <si>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</si>
  <si>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</si>
  <si>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</si>
  <si>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</si>
  <si>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</si>
  <si>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</si>
  <si>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</si>
  <si>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</si>
  <si>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</si>
  <si>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</si>
  <si>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</si>
  <si>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</si>
  <si>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</si>
  <si>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</si>
  <si>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</si>
  <si>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</si>
  <si>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</si>
  <si>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</si>
  <si>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</si>
  <si>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</si>
  <si>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</si>
  <si>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</si>
  <si>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</si>
  <si>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</si>
  <si>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</si>
  <si>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</si>
  <si>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Беломорская ул., дом 3 к.1</t>
  </si>
  <si>
    <t>Беломорская ул., дом 5 к.1</t>
  </si>
  <si>
    <t>Беломорская ул., дом 5 к.2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</si>
  <si>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</si>
  <si>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</si>
  <si>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</si>
  <si>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</si>
  <si>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</si>
  <si>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</si>
  <si>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</si>
  <si>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</si>
  <si>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</si>
  <si>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</si>
  <si>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</si>
  <si>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</si>
  <si>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</si>
  <si>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</si>
  <si>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</si>
  <si>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</si>
  <si>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</si>
  <si>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</si>
  <si>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</si>
  <si>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</si>
  <si>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</si>
  <si>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</si>
  <si>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</si>
  <si>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</si>
  <si>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</si>
  <si>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</si>
  <si>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</si>
  <si>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</si>
  <si>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</si>
  <si>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</si>
  <si>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</si>
  <si>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</si>
  <si>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</si>
  <si>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</si>
  <si>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</si>
  <si>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</si>
  <si>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</si>
  <si>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</si>
  <si>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</si>
  <si>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</si>
  <si>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</si>
  <si>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</si>
  <si>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</si>
  <si>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</si>
  <si>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</si>
  <si>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</si>
  <si>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</si>
  <si>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</si>
  <si>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</si>
  <si>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</si>
  <si>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</si>
  <si>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</si>
  <si>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</si>
  <si>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</si>
  <si>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</si>
  <si>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</si>
  <si>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</si>
  <si>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</si>
  <si>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</si>
  <si>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</si>
  <si>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</si>
  <si>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</si>
  <si>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</si>
  <si>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</si>
  <si>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</si>
  <si>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</si>
  <si>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</si>
  <si>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</si>
  <si>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</si>
  <si>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</si>
  <si>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</si>
  <si>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</si>
  <si>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</si>
  <si>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</si>
  <si>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</si>
  <si>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</si>
  <si>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</si>
  <si>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</si>
  <si>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</si>
  <si>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</si>
  <si>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</si>
  <si>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Беломорская ул., дом 5 к.3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</si>
  <si>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</si>
  <si>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</si>
  <si>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</si>
  <si>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</si>
  <si>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</si>
  <si>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</si>
  <si>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</si>
  <si>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</si>
  <si>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</si>
  <si>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</si>
  <si>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</si>
  <si>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</si>
  <si>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</si>
  <si>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</si>
  <si>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</si>
  <si>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</si>
  <si>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</si>
  <si>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</si>
  <si>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</si>
  <si>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</si>
  <si>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</si>
  <si>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</si>
  <si>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</si>
  <si>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</si>
  <si>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</si>
  <si>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</si>
  <si>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</si>
  <si>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</si>
  <si>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</si>
  <si>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</si>
  <si>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</si>
  <si>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</si>
  <si>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</si>
  <si>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</si>
  <si>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</si>
  <si>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</si>
  <si>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</si>
  <si>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</si>
  <si>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</si>
  <si>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</si>
  <si>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</si>
  <si>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</si>
  <si>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</si>
  <si>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</si>
  <si>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</si>
  <si>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</si>
  <si>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</si>
  <si>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</si>
  <si>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</si>
  <si>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</si>
  <si>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</si>
  <si>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</si>
  <si>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</si>
  <si>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</si>
  <si>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</si>
  <si>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</si>
  <si>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</si>
  <si>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</si>
  <si>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</si>
  <si>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</si>
  <si>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</si>
  <si>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</si>
  <si>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</si>
  <si>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</si>
  <si>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</si>
  <si>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</si>
  <si>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</si>
  <si>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</si>
  <si>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</si>
  <si>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</si>
  <si>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</si>
  <si>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</si>
  <si>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</si>
  <si>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</si>
  <si>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</si>
  <si>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</si>
  <si>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</si>
  <si>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</si>
  <si>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</si>
  <si>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</si>
  <si>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</si>
  <si>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</si>
  <si>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</si>
  <si>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</si>
  <si>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</si>
  <si>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</si>
  <si>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</si>
  <si>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</si>
  <si>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</si>
  <si>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</si>
  <si>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</si>
  <si>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Беломорская ул., дом 7 к.1</t>
  </si>
  <si>
    <t>Беломорская ул., дом 7 к.2</t>
  </si>
  <si>
    <t>Беломорская ул., дом 7 к.3</t>
  </si>
  <si>
    <t>Беломорская ул., дом 8 к.1</t>
  </si>
  <si>
    <t>Беломорская ул., дом 10 к.3</t>
  </si>
  <si>
    <t>Беломорская ул., дом 11 к.2</t>
  </si>
  <si>
    <t>Беломорская ул., дом 12 к.1</t>
  </si>
  <si>
    <t>Беломорская ул., дом 13 к.1</t>
  </si>
  <si>
    <t>ФЛС 271-270</t>
  </si>
  <si>
    <t>70, 71</t>
  </si>
  <si>
    <t>313</t>
  </si>
  <si>
    <t>314</t>
  </si>
  <si>
    <t>315</t>
  </si>
  <si>
    <t>316</t>
  </si>
  <si>
    <t>317</t>
  </si>
  <si>
    <t>318</t>
  </si>
  <si>
    <t>319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</si>
  <si>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</si>
  <si>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</si>
  <si>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</si>
  <si>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</si>
  <si>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</si>
  <si>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</si>
  <si>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</si>
  <si>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</si>
  <si>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</si>
  <si>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</si>
  <si>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</si>
  <si>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</si>
  <si>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</si>
  <si>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</si>
  <si>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</si>
  <si>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</si>
  <si>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</si>
  <si>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</si>
  <si>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</si>
  <si>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</si>
  <si>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</si>
  <si>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</si>
  <si>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</si>
  <si>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</si>
  <si>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</si>
  <si>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</si>
  <si>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</si>
  <si>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</si>
  <si>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</si>
  <si>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</si>
  <si>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</si>
  <si>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</si>
  <si>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</si>
  <si>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</si>
  <si>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</si>
  <si>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</si>
  <si>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</si>
  <si>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</si>
  <si>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</si>
  <si>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</si>
  <si>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</si>
  <si>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</si>
  <si>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</si>
  <si>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</si>
  <si>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</si>
  <si>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</si>
  <si>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</si>
  <si>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</si>
  <si>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</si>
  <si>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</si>
  <si>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</si>
  <si>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</si>
  <si>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</si>
  <si>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</si>
  <si>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</si>
  <si>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</si>
  <si>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</si>
  <si>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</si>
  <si>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</si>
  <si>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</si>
  <si>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</si>
  <si>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</si>
  <si>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</si>
  <si>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</si>
  <si>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</si>
  <si>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</si>
  <si>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</si>
  <si>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</si>
  <si>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</si>
  <si>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</si>
  <si>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</si>
  <si>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</si>
  <si>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</si>
  <si>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</si>
  <si>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</si>
  <si>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</si>
  <si>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</si>
  <si>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</si>
  <si>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</si>
  <si>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</si>
  <si>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</si>
  <si>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</si>
  <si>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</si>
  <si>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</si>
  <si>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</si>
  <si>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</si>
  <si>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</si>
  <si>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</si>
  <si>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</si>
  <si>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</si>
  <si>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</si>
  <si>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</si>
  <si>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</si>
  <si>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</si>
  <si>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</si>
  <si>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</si>
  <si>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</si>
  <si>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</si>
  <si>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</si>
  <si>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</si>
  <si>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</si>
  <si>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</si>
  <si>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</si>
  <si>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</si>
  <si>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</si>
  <si>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</si>
  <si>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</si>
  <si>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</si>
  <si>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</si>
  <si>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</si>
  <si>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</si>
  <si>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</si>
  <si>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</si>
  <si>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</si>
  <si>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</si>
  <si>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</si>
  <si>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</si>
  <si>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</si>
  <si>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</si>
  <si>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</si>
  <si>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</si>
  <si>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</si>
  <si>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</si>
  <si>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</si>
  <si>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</si>
  <si>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</si>
  <si>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</si>
  <si>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</si>
  <si>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</si>
  <si>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</si>
  <si>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</si>
  <si>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</si>
  <si>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</si>
  <si>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</si>
  <si>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</si>
  <si>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</si>
  <si>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</si>
  <si>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</si>
  <si>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</si>
  <si>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</si>
  <si>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</si>
  <si>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</si>
  <si>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</si>
  <si>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</si>
  <si>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</si>
  <si>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</si>
  <si>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</si>
  <si>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</si>
  <si>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</si>
  <si>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</si>
  <si>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</si>
  <si>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</si>
  <si>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</si>
  <si>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</si>
  <si>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</si>
  <si>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</si>
  <si>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</si>
  <si>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</si>
  <si>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</si>
  <si>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</si>
  <si>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</si>
  <si>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</si>
  <si>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</si>
  <si>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</si>
  <si>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</si>
  <si>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</si>
  <si>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</si>
  <si>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</si>
  <si>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</si>
  <si>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</si>
  <si>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</si>
  <si>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</si>
  <si>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</si>
  <si>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</si>
  <si>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</si>
  <si>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</si>
  <si>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</si>
  <si>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</si>
  <si>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</si>
  <si>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</si>
  <si>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</si>
  <si>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</si>
  <si>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</si>
  <si>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</si>
  <si>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</si>
  <si>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</si>
  <si>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</si>
  <si>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</si>
  <si>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</si>
  <si>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</si>
  <si>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</si>
  <si>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</si>
  <si>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</si>
  <si>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</si>
  <si>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</si>
  <si>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</si>
  <si>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</si>
  <si>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</si>
  <si>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</si>
  <si>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</si>
  <si>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</si>
  <si>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</si>
  <si>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</si>
  <si>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</si>
  <si>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</si>
  <si>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</si>
  <si>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</si>
  <si>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</si>
  <si>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</si>
  <si>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</si>
  <si>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</si>
  <si>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</si>
  <si>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Беломорская ул., дом 13 к.2</t>
  </si>
  <si>
    <t>Беломорская ул., дом 14 к.1</t>
  </si>
  <si>
    <t>Беломорская ул., дом 16</t>
  </si>
  <si>
    <t>Беломорская ул., дом 18А</t>
  </si>
  <si>
    <t>Беломорская ул., дом 20 к.1</t>
  </si>
  <si>
    <t>133-135</t>
  </si>
  <si>
    <t>Беломорская ул., дом 20 к.2</t>
  </si>
  <si>
    <t>Беломорская ул., дом 20 к.3</t>
  </si>
  <si>
    <t>25, 26</t>
  </si>
  <si>
    <t>166-167</t>
  </si>
  <si>
    <t>Беломорская ул., дом 24 к.3</t>
  </si>
  <si>
    <t>5-10</t>
  </si>
  <si>
    <t>58-94</t>
  </si>
  <si>
    <t>Беломорская ул., дом 26</t>
  </si>
  <si>
    <t>Валдайский пр., дом 4</t>
  </si>
  <si>
    <t>Валдайский пр., дом 6</t>
  </si>
  <si>
    <t>Валдайский пр., дом 9А к.1</t>
  </si>
  <si>
    <t>Валдайский пр., дом 10 к.1</t>
  </si>
  <si>
    <t>36-37</t>
  </si>
  <si>
    <t>Валдайский пр., дом 12</t>
  </si>
  <si>
    <t>Валдайский пр., дом 13А к.1</t>
  </si>
  <si>
    <t>Валдайский пр., дом 21</t>
  </si>
  <si>
    <t>Валдайский пр., дом 22</t>
  </si>
  <si>
    <t>Ленинградское шоссе, дом 92/1</t>
  </si>
  <si>
    <t>Ленинградское шоссе, дом 94 к.1</t>
  </si>
  <si>
    <t>Ленинградское шоссе, дом 96 к.1</t>
  </si>
  <si>
    <t>Ленинградское шоссе, дом 96 к.2</t>
  </si>
  <si>
    <t>Ленинградское шоссе, дом 96 к.3</t>
  </si>
  <si>
    <t>Ленинградское шоссе, дом 96 к.4</t>
  </si>
  <si>
    <t>Ленинградское шоссе, дом 96 к.5</t>
  </si>
  <si>
    <t>Ленинградское шоссе, дом 98 к.1</t>
  </si>
  <si>
    <t>Ленинградское шоссе, дом 98 к.2</t>
  </si>
  <si>
    <t>Ленинградское шоссе, дом 98 к.4</t>
  </si>
  <si>
    <t>Ленинградское шоссе, дом 98 к.5</t>
  </si>
  <si>
    <t>Ленинградское шоссе, дом 100</t>
  </si>
  <si>
    <t>Ленинградское шоссе, дом 102</t>
  </si>
  <si>
    <t>Ленинградское шоссе, дом 108</t>
  </si>
  <si>
    <t>Ленинградское шоссе, дом 108 к.1</t>
  </si>
  <si>
    <t>Ленинградское шоссе, дом 108 к.2</t>
  </si>
  <si>
    <t>Ленинградское шоссе, дом 108 к.3</t>
  </si>
  <si>
    <t>Ленинградское шоссе, дом 112 к.2</t>
  </si>
  <si>
    <t>Ленинградское шоссе, дом 112/1 к.1</t>
  </si>
  <si>
    <t>161, 162</t>
  </si>
  <si>
    <t>Ленинградское шоссе, дом 118 к.1</t>
  </si>
  <si>
    <t>Ленинградское шоссе, дом 120 к.3</t>
  </si>
  <si>
    <t>Ленинградское шоссе, дом 124 к.1</t>
  </si>
  <si>
    <t>Ленинградское шоссе, дом 128 к.2</t>
  </si>
  <si>
    <t>Ленинградское шоссе, дом 130 к.2</t>
  </si>
  <si>
    <t>Ленинградское шоссе, дом 130 к.3</t>
  </si>
  <si>
    <t>Ленинградское шоссе, дом 132</t>
  </si>
  <si>
    <t>Ленинградское шоссе, дом 134</t>
  </si>
  <si>
    <t>Прибрежный пр., дом 1</t>
  </si>
  <si>
    <t>Прибрежный пр., дом 4</t>
  </si>
  <si>
    <t>Прибрежный пр., дом 7</t>
  </si>
  <si>
    <t>288а</t>
  </si>
  <si>
    <t>Смольная ул., дом 39</t>
  </si>
  <si>
    <t>Смольная ул., дом 41</t>
  </si>
  <si>
    <t>Смольная ул., дом 43</t>
  </si>
  <si>
    <t>Смольная ул., дом 45</t>
  </si>
  <si>
    <t>Смольная ул., дом 47</t>
  </si>
  <si>
    <t>Смольная ул., дом 51 к.2</t>
  </si>
  <si>
    <t>Смольная ул., дом 51 к.3</t>
  </si>
  <si>
    <t>Смольная ул., дом 57 к.1</t>
  </si>
  <si>
    <t>Смольная ул., дом 61 к.1</t>
  </si>
  <si>
    <t>Смольная ул., дом 63</t>
  </si>
  <si>
    <t>Смольная ул., дом 65</t>
  </si>
  <si>
    <t>Смольная ул., дом 67 к.2</t>
  </si>
  <si>
    <t>Смольная ул., дом 67 к.3</t>
  </si>
  <si>
    <t>Смольная ул., дом 73</t>
  </si>
  <si>
    <t>Фестивальная ул., дом 3</t>
  </si>
  <si>
    <t>Фестивальная ул., дом 4</t>
  </si>
  <si>
    <t>Фестивальная ул., дом 5</t>
  </si>
  <si>
    <t>Фестивальная ул., дом 9</t>
  </si>
  <si>
    <t>Фестивальная ул., дом 15 к.1</t>
  </si>
  <si>
    <t>Фестивальная ул., дом 17 к.1</t>
  </si>
  <si>
    <t>Фестивальная ул., дом 39 к.1</t>
  </si>
  <si>
    <t>Фестивальная ул., дом 41 к.1</t>
  </si>
  <si>
    <t>Фестивальная ул., дом 41 к.2</t>
  </si>
  <si>
    <t>Фестивальная ул., дом 41 к.3</t>
  </si>
  <si>
    <t>Фестивальная ул., дом 41 к.4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</si>
</sst>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u/>
      <sz val="11"/>
      <color rgb="FF0C67D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EFE6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vertical="top" wrapText="1"/>
    </xf>
    <xf numFmtId="0" fontId="1" fillId="0" borderId="0" xfId="0" applyFont="1"/>
    <xf numFmtId="0" fontId="0" fillId="2" borderId="0" xfId="0" applyFill="1" applyAlignment="1">
      <alignment vertical="top"/>
    </xf>
    <xf numFmtId="0" fontId="0" fillId="2" borderId="2" xfId="0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14278"/>
  <sheetViews>
    <sheetView tabSelected="1" workbookViewId="0">
      <pane xSplit="3" ySplit="7" topLeftCell="D9184" activePane="bottomRight" state="frozen"/>
      <selection pane="topRight" activeCell="G1" sqref="G1"/>
      <selection pane="bottomLeft" activeCell="A8" sqref="A8"/>
      <selection pane="bottomRight" activeCell="Q19" sqref="Q19"/>
    </sheetView>
  </sheetViews>
  <sheetFormatPr defaultRowHeight="15" x14ac:dyDescent="0.25"/>
  <cols>
    <col min="1" max="1" width="28.28515625" customWidth="1"/>
    <col min="3" max="3" width="17.7109375" customWidth="1"/>
    <col min="4" max="4" width="19.5703125" customWidth="1"/>
  </cols>
  <sheetData>
    <row r="1" spans="1:4" x14ac:dyDescent="0.25">
      <c r="A1" s="3"/>
      <c r="B1" s="3"/>
      <c r="C1" s="3"/>
      <c r="D1" s="3"/>
    </row>
    <row r="2" spans="1:4" x14ac:dyDescent="0.25">
      <c r="A2" s="3"/>
      <c r="B2" s="3"/>
      <c r="C2" s="3"/>
      <c r="D2" s="3"/>
    </row>
    <row r="3" spans="1:4" x14ac:dyDescent="0.25">
      <c r="A3" s="3"/>
      <c r="B3" s="3"/>
      <c r="C3" s="3"/>
      <c r="D3" s="3"/>
    </row>
    <row r="4" spans="1:4" x14ac:dyDescent="0.25">
      <c r="A4" s="3"/>
      <c r="B4" s="3"/>
      <c r="C4" s="3"/>
      <c r="D4" s="3"/>
    </row>
    <row r="5" spans="1:4" x14ac:dyDescent="0.25">
      <c r="A5" s="3"/>
      <c r="B5" s="3"/>
      <c r="C5" s="3"/>
      <c r="D5" s="3"/>
    </row>
    <row r="6" spans="1:4" x14ac:dyDescent="0.25">
      <c r="A6" s="4"/>
      <c r="B6" s="4"/>
      <c r="C6" s="4"/>
      <c r="D6" s="4"/>
    </row>
    <row r="7" spans="1:4" ht="30" x14ac:dyDescent="0.25">
      <c r="A7" s="1" t="s">
        <v>0</v>
      </c>
      <c r="B7" s="1" t="s">
        <v>1</v>
      </c>
      <c r="C7" s="1" t="s">
        <v>2</v>
      </c>
      <c r="D7" s="1" t="s">
        <v>3</v>
      </c>
    </row>
    <row r="8" spans="1:4" x14ac:dyDescent="0.25">
      <c r="A8" t="s">
        <v>4</v>
      </c>
      <c r="B8" t="s">
        <v>5</v>
      </c>
      <c r="C8" s="2">
        <f>HYPERLINK("https://sao.dolgi.msk.ru/account/1404175952/", 1404175952)</f>
        <v>1404175952</v>
      </c>
      <c r="D8">
        <v>43981.84</v>
      </c>
    </row>
    <row r="9" spans="1:4" hidden="1" x14ac:dyDescent="0.25">
      <c r="A9" t="s">
        <v>4</v>
      </c>
      <c r="B9" t="s">
        <v>6</v>
      </c>
      <c r="C9" s="2">
        <f>HYPERLINK("https://sao.dolgi.msk.ru/account/1404176605/", 1404176605)</f>
        <v>1404176605</v>
      </c>
      <c r="D9">
        <v>-8112.93</v>
      </c>
    </row>
    <row r="10" spans="1:4" hidden="1" x14ac:dyDescent="0.25">
      <c r="A10" t="s">
        <v>4</v>
      </c>
      <c r="B10" t="s">
        <v>7</v>
      </c>
      <c r="C10" s="2">
        <f>HYPERLINK("https://sao.dolgi.msk.ru/account/1404175047/", 1404175047)</f>
        <v>1404175047</v>
      </c>
      <c r="D10">
        <v>0</v>
      </c>
    </row>
    <row r="11" spans="1:4" x14ac:dyDescent="0.25">
      <c r="A11" t="s">
        <v>4</v>
      </c>
      <c r="B11" t="s">
        <v>8</v>
      </c>
      <c r="C11" s="2">
        <f>HYPERLINK("https://sao.dolgi.msk.ru/account/1404175418/", 1404175418)</f>
        <v>1404175418</v>
      </c>
      <c r="D11">
        <v>14291.69</v>
      </c>
    </row>
    <row r="12" spans="1:4" hidden="1" x14ac:dyDescent="0.25">
      <c r="A12" t="s">
        <v>4</v>
      </c>
      <c r="B12" t="s">
        <v>9</v>
      </c>
      <c r="C12" s="2">
        <f>HYPERLINK("https://sao.dolgi.msk.ru/account/1404174925/", 1404174925)</f>
        <v>1404174925</v>
      </c>
      <c r="D12">
        <v>-13348.52</v>
      </c>
    </row>
    <row r="13" spans="1:4" hidden="1" x14ac:dyDescent="0.25">
      <c r="A13" t="s">
        <v>4</v>
      </c>
      <c r="B13" t="s">
        <v>10</v>
      </c>
      <c r="C13" s="2">
        <f>HYPERLINK("https://sao.dolgi.msk.ru/account/1404175645/", 1404175645)</f>
        <v>1404175645</v>
      </c>
      <c r="D13">
        <v>-38827.9</v>
      </c>
    </row>
    <row r="14" spans="1:4" hidden="1" x14ac:dyDescent="0.25">
      <c r="A14" t="s">
        <v>4</v>
      </c>
      <c r="B14" t="s">
        <v>11</v>
      </c>
      <c r="C14" s="2">
        <f>HYPERLINK("https://sao.dolgi.msk.ru/account/1404175127/", 1404175127)</f>
        <v>1404175127</v>
      </c>
      <c r="D14">
        <v>-10844.33</v>
      </c>
    </row>
    <row r="15" spans="1:4" x14ac:dyDescent="0.25">
      <c r="A15" t="s">
        <v>4</v>
      </c>
      <c r="B15" t="s">
        <v>12</v>
      </c>
      <c r="C15" s="2">
        <f>HYPERLINK("https://sao.dolgi.msk.ru/account/1404176816/", 1404176816)</f>
        <v>1404176816</v>
      </c>
      <c r="D15">
        <v>12602.48</v>
      </c>
    </row>
    <row r="16" spans="1:4" hidden="1" x14ac:dyDescent="0.25">
      <c r="A16" t="s">
        <v>4</v>
      </c>
      <c r="B16" t="s">
        <v>13</v>
      </c>
      <c r="C16" s="2">
        <f>HYPERLINK("https://sao.dolgi.msk.ru/account/1404176701/", 1404176701)</f>
        <v>1404176701</v>
      </c>
      <c r="D16">
        <v>-7460.89</v>
      </c>
    </row>
    <row r="17" spans="1:4" hidden="1" x14ac:dyDescent="0.25">
      <c r="A17" t="s">
        <v>4</v>
      </c>
      <c r="B17" t="s">
        <v>14</v>
      </c>
      <c r="C17" s="2">
        <f>HYPERLINK("https://sao.dolgi.msk.ru/account/1404175979/", 1404175979)</f>
        <v>1404175979</v>
      </c>
      <c r="D17">
        <v>-7743.73</v>
      </c>
    </row>
    <row r="18" spans="1:4" hidden="1" x14ac:dyDescent="0.25">
      <c r="A18" t="s">
        <v>4</v>
      </c>
      <c r="B18" t="s">
        <v>15</v>
      </c>
      <c r="C18" s="2">
        <f>HYPERLINK("https://sao.dolgi.msk.ru/account/1404176445/", 1404176445)</f>
        <v>1404176445</v>
      </c>
      <c r="D18">
        <v>-8942.31</v>
      </c>
    </row>
    <row r="19" spans="1:4" x14ac:dyDescent="0.25">
      <c r="A19" t="s">
        <v>4</v>
      </c>
      <c r="B19" t="s">
        <v>16</v>
      </c>
      <c r="C19" s="2">
        <f>HYPERLINK("https://sao.dolgi.msk.ru/account/1404175477/", 1404175477)</f>
        <v>1404175477</v>
      </c>
      <c r="D19">
        <v>4920.3</v>
      </c>
    </row>
    <row r="20" spans="1:4" hidden="1" x14ac:dyDescent="0.25">
      <c r="A20" t="s">
        <v>4</v>
      </c>
      <c r="B20" t="s">
        <v>17</v>
      </c>
      <c r="C20" s="2">
        <f>HYPERLINK("https://sao.dolgi.msk.ru/account/1404177237/", 1404177237)</f>
        <v>1404177237</v>
      </c>
      <c r="D20">
        <v>0</v>
      </c>
    </row>
    <row r="21" spans="1:4" x14ac:dyDescent="0.25">
      <c r="A21" t="s">
        <v>4</v>
      </c>
      <c r="B21" t="s">
        <v>18</v>
      </c>
      <c r="C21" s="2">
        <f>HYPERLINK("https://sao.dolgi.msk.ru/account/1404177181/", 1404177181)</f>
        <v>1404177181</v>
      </c>
      <c r="D21">
        <v>3579.03</v>
      </c>
    </row>
    <row r="22" spans="1:4" x14ac:dyDescent="0.25">
      <c r="A22" t="s">
        <v>4</v>
      </c>
      <c r="B22" t="s">
        <v>19</v>
      </c>
      <c r="C22" s="2">
        <f>HYPERLINK("https://sao.dolgi.msk.ru/account/1404177341/", 1404177341)</f>
        <v>1404177341</v>
      </c>
      <c r="D22">
        <v>4939.32</v>
      </c>
    </row>
    <row r="23" spans="1:4" hidden="1" x14ac:dyDescent="0.25">
      <c r="A23" t="s">
        <v>4</v>
      </c>
      <c r="B23" t="s">
        <v>20</v>
      </c>
      <c r="C23" s="2">
        <f>HYPERLINK("https://sao.dolgi.msk.ru/account/1404176904/", 1404176904)</f>
        <v>1404176904</v>
      </c>
      <c r="D23">
        <v>-6118.67</v>
      </c>
    </row>
    <row r="24" spans="1:4" hidden="1" x14ac:dyDescent="0.25">
      <c r="A24" t="s">
        <v>4</v>
      </c>
      <c r="B24" t="s">
        <v>21</v>
      </c>
      <c r="C24" s="2">
        <f>HYPERLINK("https://sao.dolgi.msk.ru/account/1404176007/", 1404176007)</f>
        <v>1404176007</v>
      </c>
      <c r="D24">
        <v>-8827.5</v>
      </c>
    </row>
    <row r="25" spans="1:4" hidden="1" x14ac:dyDescent="0.25">
      <c r="A25" t="s">
        <v>4</v>
      </c>
      <c r="B25" t="s">
        <v>22</v>
      </c>
      <c r="C25" s="2">
        <f>HYPERLINK("https://sao.dolgi.msk.ru/account/1404177317/", 1404177317)</f>
        <v>1404177317</v>
      </c>
      <c r="D25">
        <v>-5810.88</v>
      </c>
    </row>
    <row r="26" spans="1:4" hidden="1" x14ac:dyDescent="0.25">
      <c r="A26" t="s">
        <v>4</v>
      </c>
      <c r="B26" t="s">
        <v>23</v>
      </c>
      <c r="C26" s="2">
        <f>HYPERLINK("https://sao.dolgi.msk.ru/account/1404176533/", 1404176533)</f>
        <v>1404176533</v>
      </c>
      <c r="D26">
        <v>-6502.96</v>
      </c>
    </row>
    <row r="27" spans="1:4" x14ac:dyDescent="0.25">
      <c r="A27" t="s">
        <v>4</v>
      </c>
      <c r="B27" t="s">
        <v>24</v>
      </c>
      <c r="C27" s="2">
        <f>HYPERLINK("https://sao.dolgi.msk.ru/account/1404176613/", 1404176613)</f>
        <v>1404176613</v>
      </c>
      <c r="D27">
        <v>676.28</v>
      </c>
    </row>
    <row r="28" spans="1:4" hidden="1" x14ac:dyDescent="0.25">
      <c r="A28" t="s">
        <v>4</v>
      </c>
      <c r="B28" t="s">
        <v>25</v>
      </c>
      <c r="C28" s="2">
        <f>HYPERLINK("https://sao.dolgi.msk.ru/account/1404175231/", 1404175231)</f>
        <v>1404175231</v>
      </c>
      <c r="D28">
        <v>-9275.2900000000009</v>
      </c>
    </row>
    <row r="29" spans="1:4" hidden="1" x14ac:dyDescent="0.25">
      <c r="A29" t="s">
        <v>4</v>
      </c>
      <c r="B29" t="s">
        <v>26</v>
      </c>
      <c r="C29" s="2">
        <f>HYPERLINK("https://sao.dolgi.msk.ru/account/1404176242/", 1404176242)</f>
        <v>1404176242</v>
      </c>
      <c r="D29">
        <v>-8431.7999999999993</v>
      </c>
    </row>
    <row r="30" spans="1:4" hidden="1" x14ac:dyDescent="0.25">
      <c r="A30" t="s">
        <v>4</v>
      </c>
      <c r="B30" t="s">
        <v>27</v>
      </c>
      <c r="C30" s="2">
        <f>HYPERLINK("https://sao.dolgi.msk.ru/account/1404175311/", 1404175311)</f>
        <v>1404175311</v>
      </c>
      <c r="D30">
        <v>-6467.06</v>
      </c>
    </row>
    <row r="31" spans="1:4" hidden="1" x14ac:dyDescent="0.25">
      <c r="A31" t="s">
        <v>4</v>
      </c>
      <c r="B31" t="s">
        <v>28</v>
      </c>
      <c r="C31" s="2">
        <f>HYPERLINK("https://sao.dolgi.msk.ru/account/1404175354/", 1404175354)</f>
        <v>1404175354</v>
      </c>
      <c r="D31">
        <v>-5287.19</v>
      </c>
    </row>
    <row r="32" spans="1:4" x14ac:dyDescent="0.25">
      <c r="A32" t="s">
        <v>4</v>
      </c>
      <c r="B32" t="s">
        <v>29</v>
      </c>
      <c r="C32" s="2">
        <f>HYPERLINK("https://sao.dolgi.msk.ru/account/1404176998/", 1404176998)</f>
        <v>1404176998</v>
      </c>
      <c r="D32">
        <v>10699.15</v>
      </c>
    </row>
    <row r="33" spans="1:4" x14ac:dyDescent="0.25">
      <c r="A33" t="s">
        <v>4</v>
      </c>
      <c r="B33" t="s">
        <v>30</v>
      </c>
      <c r="C33" s="2">
        <f>HYPERLINK("https://sao.dolgi.msk.ru/account/1404175039/", 1404175039)</f>
        <v>1404175039</v>
      </c>
      <c r="D33">
        <v>8173.92</v>
      </c>
    </row>
    <row r="34" spans="1:4" hidden="1" x14ac:dyDescent="0.25">
      <c r="A34" t="s">
        <v>4</v>
      </c>
      <c r="B34" t="s">
        <v>31</v>
      </c>
      <c r="C34" s="2">
        <f>HYPERLINK("https://sao.dolgi.msk.ru/account/1404175362/", 1404175362)</f>
        <v>1404175362</v>
      </c>
      <c r="D34">
        <v>-5311.34</v>
      </c>
    </row>
    <row r="35" spans="1:4" hidden="1" x14ac:dyDescent="0.25">
      <c r="A35" t="s">
        <v>4</v>
      </c>
      <c r="B35" t="s">
        <v>32</v>
      </c>
      <c r="C35" s="2">
        <f>HYPERLINK("https://sao.dolgi.msk.ru/account/1404174861/", 1404174861)</f>
        <v>1404174861</v>
      </c>
      <c r="D35">
        <v>-2630.86</v>
      </c>
    </row>
    <row r="36" spans="1:4" hidden="1" x14ac:dyDescent="0.25">
      <c r="A36" t="s">
        <v>4</v>
      </c>
      <c r="B36" t="s">
        <v>32</v>
      </c>
      <c r="C36" s="2">
        <f>HYPERLINK("https://sao.dolgi.msk.ru/account/1404175944/", 1404175944)</f>
        <v>1404175944</v>
      </c>
      <c r="D36">
        <v>0</v>
      </c>
    </row>
    <row r="37" spans="1:4" hidden="1" x14ac:dyDescent="0.25">
      <c r="A37" t="s">
        <v>4</v>
      </c>
      <c r="B37" t="s">
        <v>33</v>
      </c>
      <c r="C37" s="2">
        <f>HYPERLINK("https://sao.dolgi.msk.ru/account/1404177018/", 1404177018)</f>
        <v>1404177018</v>
      </c>
      <c r="D37">
        <v>-16627.349999999999</v>
      </c>
    </row>
    <row r="38" spans="1:4" hidden="1" x14ac:dyDescent="0.25">
      <c r="A38" t="s">
        <v>4</v>
      </c>
      <c r="B38" t="s">
        <v>34</v>
      </c>
      <c r="C38" s="2">
        <f>HYPERLINK("https://sao.dolgi.msk.ru/account/1404175389/", 1404175389)</f>
        <v>1404175389</v>
      </c>
      <c r="D38">
        <v>-10558.67</v>
      </c>
    </row>
    <row r="39" spans="1:4" hidden="1" x14ac:dyDescent="0.25">
      <c r="A39" t="s">
        <v>4</v>
      </c>
      <c r="B39" t="s">
        <v>35</v>
      </c>
      <c r="C39" s="2">
        <f>HYPERLINK("https://sao.dolgi.msk.ru/account/1404177026/", 1404177026)</f>
        <v>1404177026</v>
      </c>
      <c r="D39">
        <v>-6135.37</v>
      </c>
    </row>
    <row r="40" spans="1:4" hidden="1" x14ac:dyDescent="0.25">
      <c r="A40" t="s">
        <v>4</v>
      </c>
      <c r="B40" t="s">
        <v>36</v>
      </c>
      <c r="C40" s="2">
        <f>HYPERLINK("https://sao.dolgi.msk.ru/account/1404175653/", 1404175653)</f>
        <v>1404175653</v>
      </c>
      <c r="D40">
        <v>-7012.21</v>
      </c>
    </row>
    <row r="41" spans="1:4" hidden="1" x14ac:dyDescent="0.25">
      <c r="A41" t="s">
        <v>4</v>
      </c>
      <c r="B41" t="s">
        <v>37</v>
      </c>
      <c r="C41" s="2">
        <f>HYPERLINK("https://sao.dolgi.msk.ru/account/1404176402/", 1404176402)</f>
        <v>1404176402</v>
      </c>
      <c r="D41">
        <v>-10079.34</v>
      </c>
    </row>
    <row r="42" spans="1:4" hidden="1" x14ac:dyDescent="0.25">
      <c r="A42" t="s">
        <v>4</v>
      </c>
      <c r="B42" t="s">
        <v>38</v>
      </c>
      <c r="C42" s="2">
        <f>HYPERLINK("https://sao.dolgi.msk.ru/account/1404175661/", 1404175661)</f>
        <v>1404175661</v>
      </c>
      <c r="D42">
        <v>0</v>
      </c>
    </row>
    <row r="43" spans="1:4" hidden="1" x14ac:dyDescent="0.25">
      <c r="A43" t="s">
        <v>4</v>
      </c>
      <c r="B43" t="s">
        <v>39</v>
      </c>
      <c r="C43" s="2">
        <f>HYPERLINK("https://sao.dolgi.msk.ru/account/1404177034/", 1404177034)</f>
        <v>1404177034</v>
      </c>
      <c r="D43">
        <v>-5729.48</v>
      </c>
    </row>
    <row r="44" spans="1:4" hidden="1" x14ac:dyDescent="0.25">
      <c r="A44" t="s">
        <v>4</v>
      </c>
      <c r="B44" t="s">
        <v>40</v>
      </c>
      <c r="C44" s="2">
        <f>HYPERLINK("https://sao.dolgi.msk.ru/account/1404176736/", 1404176736)</f>
        <v>1404176736</v>
      </c>
      <c r="D44">
        <v>-9982.11</v>
      </c>
    </row>
    <row r="45" spans="1:4" hidden="1" x14ac:dyDescent="0.25">
      <c r="A45" t="s">
        <v>4</v>
      </c>
      <c r="B45" t="s">
        <v>41</v>
      </c>
      <c r="C45" s="2">
        <f>HYPERLINK("https://sao.dolgi.msk.ru/account/1404176744/", 1404176744)</f>
        <v>1404176744</v>
      </c>
      <c r="D45">
        <v>-8274.0400000000009</v>
      </c>
    </row>
    <row r="46" spans="1:4" hidden="1" x14ac:dyDescent="0.25">
      <c r="A46" t="s">
        <v>4</v>
      </c>
      <c r="B46" t="s">
        <v>42</v>
      </c>
      <c r="C46" s="2">
        <f>HYPERLINK("https://sao.dolgi.msk.ru/account/1404176429/", 1404176429)</f>
        <v>1404176429</v>
      </c>
      <c r="D46">
        <v>-11809.91</v>
      </c>
    </row>
    <row r="47" spans="1:4" hidden="1" x14ac:dyDescent="0.25">
      <c r="A47" t="s">
        <v>4</v>
      </c>
      <c r="B47" t="s">
        <v>43</v>
      </c>
      <c r="C47" s="2">
        <f>HYPERLINK("https://sao.dolgi.msk.ru/account/1404175397/", 1404175397)</f>
        <v>1404175397</v>
      </c>
      <c r="D47">
        <v>-6171.67</v>
      </c>
    </row>
    <row r="48" spans="1:4" hidden="1" x14ac:dyDescent="0.25">
      <c r="A48" t="s">
        <v>4</v>
      </c>
      <c r="B48" t="s">
        <v>44</v>
      </c>
      <c r="C48" s="2">
        <f>HYPERLINK("https://sao.dolgi.msk.ru/account/1404176488/", 1404176488)</f>
        <v>1404176488</v>
      </c>
      <c r="D48">
        <v>-5985.47</v>
      </c>
    </row>
    <row r="49" spans="1:4" hidden="1" x14ac:dyDescent="0.25">
      <c r="A49" t="s">
        <v>4</v>
      </c>
      <c r="B49" t="s">
        <v>45</v>
      </c>
      <c r="C49" s="2">
        <f>HYPERLINK("https://sao.dolgi.msk.ru/account/1404176111/", 1404176111)</f>
        <v>1404176111</v>
      </c>
      <c r="D49">
        <v>0</v>
      </c>
    </row>
    <row r="50" spans="1:4" hidden="1" x14ac:dyDescent="0.25">
      <c r="A50" t="s">
        <v>4</v>
      </c>
      <c r="B50" t="s">
        <v>46</v>
      </c>
      <c r="C50" s="2">
        <f>HYPERLINK("https://sao.dolgi.msk.ru/account/1404176138/", 1404176138)</f>
        <v>1404176138</v>
      </c>
      <c r="D50">
        <v>-10231.459999999999</v>
      </c>
    </row>
    <row r="51" spans="1:4" hidden="1" x14ac:dyDescent="0.25">
      <c r="A51" t="s">
        <v>4</v>
      </c>
      <c r="B51" t="s">
        <v>47</v>
      </c>
      <c r="C51" s="2">
        <f>HYPERLINK("https://sao.dolgi.msk.ru/account/1404174781/", 1404174781)</f>
        <v>1404174781</v>
      </c>
      <c r="D51">
        <v>-7809.19</v>
      </c>
    </row>
    <row r="52" spans="1:4" x14ac:dyDescent="0.25">
      <c r="A52" t="s">
        <v>4</v>
      </c>
      <c r="B52" t="s">
        <v>48</v>
      </c>
      <c r="C52" s="2">
        <f>HYPERLINK("https://sao.dolgi.msk.ru/account/1404176859/", 1404176859)</f>
        <v>1404176859</v>
      </c>
      <c r="D52">
        <v>26659.01</v>
      </c>
    </row>
    <row r="53" spans="1:4" x14ac:dyDescent="0.25">
      <c r="A53" t="s">
        <v>4</v>
      </c>
      <c r="B53" t="s">
        <v>49</v>
      </c>
      <c r="C53" s="2">
        <f>HYPERLINK("https://sao.dolgi.msk.ru/account/1404176496/", 1404176496)</f>
        <v>1404176496</v>
      </c>
      <c r="D53">
        <v>11827.59</v>
      </c>
    </row>
    <row r="54" spans="1:4" hidden="1" x14ac:dyDescent="0.25">
      <c r="A54" t="s">
        <v>4</v>
      </c>
      <c r="B54" t="s">
        <v>50</v>
      </c>
      <c r="C54" s="2">
        <f>HYPERLINK("https://sao.dolgi.msk.ru/account/1404175186/", 1404175186)</f>
        <v>1404175186</v>
      </c>
      <c r="D54">
        <v>-7526.93</v>
      </c>
    </row>
    <row r="55" spans="1:4" hidden="1" x14ac:dyDescent="0.25">
      <c r="A55" t="s">
        <v>4</v>
      </c>
      <c r="B55" t="s">
        <v>51</v>
      </c>
      <c r="C55" s="2">
        <f>HYPERLINK("https://sao.dolgi.msk.ru/account/1404175506/", 1404175506)</f>
        <v>1404175506</v>
      </c>
      <c r="D55">
        <v>-6655.55</v>
      </c>
    </row>
    <row r="56" spans="1:4" hidden="1" x14ac:dyDescent="0.25">
      <c r="A56" t="s">
        <v>4</v>
      </c>
      <c r="B56" t="s">
        <v>52</v>
      </c>
      <c r="C56" s="2">
        <f>HYPERLINK("https://sao.dolgi.msk.ru/account/1404175194/", 1404175194)</f>
        <v>1404175194</v>
      </c>
      <c r="D56">
        <v>-8458.64</v>
      </c>
    </row>
    <row r="57" spans="1:4" hidden="1" x14ac:dyDescent="0.25">
      <c r="A57" t="s">
        <v>4</v>
      </c>
      <c r="B57" t="s">
        <v>53</v>
      </c>
      <c r="C57" s="2">
        <f>HYPERLINK("https://sao.dolgi.msk.ru/account/1404175872/", 1404175872)</f>
        <v>1404175872</v>
      </c>
      <c r="D57">
        <v>-4713.91</v>
      </c>
    </row>
    <row r="58" spans="1:4" hidden="1" x14ac:dyDescent="0.25">
      <c r="A58" t="s">
        <v>4</v>
      </c>
      <c r="B58" t="s">
        <v>54</v>
      </c>
      <c r="C58" s="2">
        <f>HYPERLINK("https://sao.dolgi.msk.ru/account/1404176955/", 1404176955)</f>
        <v>1404176955</v>
      </c>
      <c r="D58">
        <v>0</v>
      </c>
    </row>
    <row r="59" spans="1:4" hidden="1" x14ac:dyDescent="0.25">
      <c r="A59" t="s">
        <v>4</v>
      </c>
      <c r="B59" t="s">
        <v>55</v>
      </c>
      <c r="C59" s="2">
        <f>HYPERLINK("https://sao.dolgi.msk.ru/account/1404177413/", 1404177413)</f>
        <v>1404177413</v>
      </c>
      <c r="D59">
        <v>-5227.0200000000004</v>
      </c>
    </row>
    <row r="60" spans="1:4" x14ac:dyDescent="0.25">
      <c r="A60" t="s">
        <v>4</v>
      </c>
      <c r="B60" t="s">
        <v>56</v>
      </c>
      <c r="C60" s="2">
        <f>HYPERLINK("https://sao.dolgi.msk.ru/account/1404174933/", 1404174933)</f>
        <v>1404174933</v>
      </c>
      <c r="D60">
        <v>7486.81</v>
      </c>
    </row>
    <row r="61" spans="1:4" hidden="1" x14ac:dyDescent="0.25">
      <c r="A61" t="s">
        <v>4</v>
      </c>
      <c r="B61" t="s">
        <v>57</v>
      </c>
      <c r="C61" s="2">
        <f>HYPERLINK("https://sao.dolgi.msk.ru/account/1404174941/", 1404174941)</f>
        <v>1404174941</v>
      </c>
      <c r="D61">
        <v>-3337.3</v>
      </c>
    </row>
    <row r="62" spans="1:4" hidden="1" x14ac:dyDescent="0.25">
      <c r="A62" t="s">
        <v>4</v>
      </c>
      <c r="B62" t="s">
        <v>58</v>
      </c>
      <c r="C62" s="2">
        <f>HYPERLINK("https://sao.dolgi.msk.ru/account/1404176656/", 1404176656)</f>
        <v>1404176656</v>
      </c>
      <c r="D62">
        <v>0</v>
      </c>
    </row>
    <row r="63" spans="1:4" hidden="1" x14ac:dyDescent="0.25">
      <c r="A63" t="s">
        <v>4</v>
      </c>
      <c r="B63" t="s">
        <v>59</v>
      </c>
      <c r="C63" s="2">
        <f>HYPERLINK("https://sao.dolgi.msk.ru/account/1404176306/", 1404176306)</f>
        <v>1404176306</v>
      </c>
      <c r="D63">
        <v>-2992.69</v>
      </c>
    </row>
    <row r="64" spans="1:4" x14ac:dyDescent="0.25">
      <c r="A64" t="s">
        <v>4</v>
      </c>
      <c r="B64" t="s">
        <v>60</v>
      </c>
      <c r="C64" s="2">
        <f>HYPERLINK("https://sao.dolgi.msk.ru/account/1404177421/", 1404177421)</f>
        <v>1404177421</v>
      </c>
      <c r="D64">
        <v>12964.71</v>
      </c>
    </row>
    <row r="65" spans="1:4" hidden="1" x14ac:dyDescent="0.25">
      <c r="A65" t="s">
        <v>4</v>
      </c>
      <c r="B65" t="s">
        <v>61</v>
      </c>
      <c r="C65" s="2">
        <f>HYPERLINK("https://sao.dolgi.msk.ru/account/1404174968/", 1404174968)</f>
        <v>1404174968</v>
      </c>
      <c r="D65">
        <v>-9046.33</v>
      </c>
    </row>
    <row r="66" spans="1:4" hidden="1" x14ac:dyDescent="0.25">
      <c r="A66" t="s">
        <v>4</v>
      </c>
      <c r="B66" t="s">
        <v>62</v>
      </c>
      <c r="C66" s="2">
        <f>HYPERLINK("https://sao.dolgi.msk.ru/account/1404177448/", 1404177448)</f>
        <v>1404177448</v>
      </c>
      <c r="D66">
        <v>0</v>
      </c>
    </row>
    <row r="67" spans="1:4" x14ac:dyDescent="0.25">
      <c r="A67" t="s">
        <v>4</v>
      </c>
      <c r="B67" t="s">
        <v>63</v>
      </c>
      <c r="C67" s="2">
        <f>HYPERLINK("https://sao.dolgi.msk.ru/account/1404174976/", 1404174976)</f>
        <v>1404174976</v>
      </c>
      <c r="D67">
        <v>5486.92</v>
      </c>
    </row>
    <row r="68" spans="1:4" x14ac:dyDescent="0.25">
      <c r="A68" t="s">
        <v>4</v>
      </c>
      <c r="B68" t="s">
        <v>64</v>
      </c>
      <c r="C68" s="2">
        <f>HYPERLINK("https://sao.dolgi.msk.ru/account/1404175899/", 1404175899)</f>
        <v>1404175899</v>
      </c>
      <c r="D68">
        <v>12046.83</v>
      </c>
    </row>
    <row r="69" spans="1:4" hidden="1" x14ac:dyDescent="0.25">
      <c r="A69" t="s">
        <v>4</v>
      </c>
      <c r="B69" t="s">
        <v>65</v>
      </c>
      <c r="C69" s="2">
        <f>HYPERLINK("https://sao.dolgi.msk.ru/account/1404176664/", 1404176664)</f>
        <v>1404176664</v>
      </c>
      <c r="D69">
        <v>-7665.21</v>
      </c>
    </row>
    <row r="70" spans="1:4" hidden="1" x14ac:dyDescent="0.25">
      <c r="A70" t="s">
        <v>4</v>
      </c>
      <c r="B70" t="s">
        <v>66</v>
      </c>
      <c r="C70" s="2">
        <f>HYPERLINK("https://sao.dolgi.msk.ru/account/1404176314/", 1404176314)</f>
        <v>1404176314</v>
      </c>
      <c r="D70">
        <v>0</v>
      </c>
    </row>
    <row r="71" spans="1:4" hidden="1" x14ac:dyDescent="0.25">
      <c r="A71" t="s">
        <v>4</v>
      </c>
      <c r="B71" t="s">
        <v>67</v>
      </c>
      <c r="C71" s="2">
        <f>HYPERLINK("https://sao.dolgi.msk.ru/account/1404176672/", 1404176672)</f>
        <v>1404176672</v>
      </c>
      <c r="D71">
        <v>0</v>
      </c>
    </row>
    <row r="72" spans="1:4" hidden="1" x14ac:dyDescent="0.25">
      <c r="A72" t="s">
        <v>4</v>
      </c>
      <c r="B72" t="s">
        <v>68</v>
      </c>
      <c r="C72" s="2">
        <f>HYPERLINK("https://sao.dolgi.msk.ru/account/1404175901/", 1404175901)</f>
        <v>1404175901</v>
      </c>
      <c r="D72">
        <v>0</v>
      </c>
    </row>
    <row r="73" spans="1:4" hidden="1" x14ac:dyDescent="0.25">
      <c r="A73" t="s">
        <v>4</v>
      </c>
      <c r="B73" t="s">
        <v>69</v>
      </c>
      <c r="C73" s="2">
        <f>HYPERLINK("https://sao.dolgi.msk.ru/account/1404176322/", 1404176322)</f>
        <v>1404176322</v>
      </c>
      <c r="D73">
        <v>0</v>
      </c>
    </row>
    <row r="74" spans="1:4" hidden="1" x14ac:dyDescent="0.25">
      <c r="A74" t="s">
        <v>4</v>
      </c>
      <c r="B74" t="s">
        <v>70</v>
      </c>
      <c r="C74" s="2">
        <f>HYPERLINK("https://sao.dolgi.msk.ru/account/1404176349/", 1404176349)</f>
        <v>1404176349</v>
      </c>
      <c r="D74">
        <v>-2654.41</v>
      </c>
    </row>
    <row r="75" spans="1:4" x14ac:dyDescent="0.25">
      <c r="A75" t="s">
        <v>4</v>
      </c>
      <c r="B75" t="s">
        <v>71</v>
      </c>
      <c r="C75" s="2">
        <f>HYPERLINK("https://sao.dolgi.msk.ru/account/1404175928/", 1404175928)</f>
        <v>1404175928</v>
      </c>
      <c r="D75">
        <v>24361.41</v>
      </c>
    </row>
    <row r="76" spans="1:4" hidden="1" x14ac:dyDescent="0.25">
      <c r="A76" t="s">
        <v>4</v>
      </c>
      <c r="B76" t="s">
        <v>72</v>
      </c>
      <c r="C76" s="2">
        <f>HYPERLINK("https://sao.dolgi.msk.ru/account/1404174765/", 1404174765)</f>
        <v>1404174765</v>
      </c>
      <c r="D76">
        <v>0</v>
      </c>
    </row>
    <row r="77" spans="1:4" x14ac:dyDescent="0.25">
      <c r="A77" t="s">
        <v>4</v>
      </c>
      <c r="B77" t="s">
        <v>73</v>
      </c>
      <c r="C77" s="2">
        <f>HYPERLINK("https://sao.dolgi.msk.ru/account/1404175768/", 1404175768)</f>
        <v>1404175768</v>
      </c>
      <c r="D77">
        <v>825.72</v>
      </c>
    </row>
    <row r="78" spans="1:4" hidden="1" x14ac:dyDescent="0.25">
      <c r="A78" t="s">
        <v>4</v>
      </c>
      <c r="B78" t="s">
        <v>74</v>
      </c>
      <c r="C78" s="2">
        <f>HYPERLINK("https://sao.dolgi.msk.ru/account/1404175776/", 1404175776)</f>
        <v>1404175776</v>
      </c>
      <c r="D78">
        <v>-6950.74</v>
      </c>
    </row>
    <row r="79" spans="1:4" hidden="1" x14ac:dyDescent="0.25">
      <c r="A79" t="s">
        <v>4</v>
      </c>
      <c r="B79" t="s">
        <v>75</v>
      </c>
      <c r="C79" s="2">
        <f>HYPERLINK("https://sao.dolgi.msk.ru/account/1404176103/", 1404176103)</f>
        <v>1404176103</v>
      </c>
      <c r="D79">
        <v>-6070.86</v>
      </c>
    </row>
    <row r="80" spans="1:4" hidden="1" x14ac:dyDescent="0.25">
      <c r="A80" t="s">
        <v>4</v>
      </c>
      <c r="B80" t="s">
        <v>76</v>
      </c>
      <c r="C80" s="2">
        <f>HYPERLINK("https://sao.dolgi.msk.ru/account/1404174773/", 1404174773)</f>
        <v>1404174773</v>
      </c>
      <c r="D80">
        <v>-6474.02</v>
      </c>
    </row>
    <row r="81" spans="1:4" hidden="1" x14ac:dyDescent="0.25">
      <c r="A81" t="s">
        <v>4</v>
      </c>
      <c r="B81" t="s">
        <v>77</v>
      </c>
      <c r="C81" s="2">
        <f>HYPERLINK("https://sao.dolgi.msk.ru/account/1404177253/", 1404177253)</f>
        <v>1404177253</v>
      </c>
      <c r="D81">
        <v>-4143.53</v>
      </c>
    </row>
    <row r="82" spans="1:4" hidden="1" x14ac:dyDescent="0.25">
      <c r="A82" t="s">
        <v>4</v>
      </c>
      <c r="B82" t="s">
        <v>78</v>
      </c>
      <c r="C82" s="2">
        <f>HYPERLINK("https://sao.dolgi.msk.ru/account/1404177261/", 1404177261)</f>
        <v>1404177261</v>
      </c>
      <c r="D82">
        <v>-6880.57</v>
      </c>
    </row>
    <row r="83" spans="1:4" hidden="1" x14ac:dyDescent="0.25">
      <c r="A83" t="s">
        <v>4</v>
      </c>
      <c r="B83" t="s">
        <v>79</v>
      </c>
      <c r="C83" s="2">
        <f>HYPERLINK("https://sao.dolgi.msk.ru/account/1404177288/", 1404177288)</f>
        <v>1404177288</v>
      </c>
      <c r="D83">
        <v>-3846.42</v>
      </c>
    </row>
    <row r="84" spans="1:4" hidden="1" x14ac:dyDescent="0.25">
      <c r="A84" t="s">
        <v>4</v>
      </c>
      <c r="B84" t="s">
        <v>80</v>
      </c>
      <c r="C84" s="2">
        <f>HYPERLINK("https://sao.dolgi.msk.ru/account/1404175784/", 1404175784)</f>
        <v>1404175784</v>
      </c>
      <c r="D84">
        <v>-8269.59</v>
      </c>
    </row>
    <row r="85" spans="1:4" hidden="1" x14ac:dyDescent="0.25">
      <c r="A85" t="s">
        <v>4</v>
      </c>
      <c r="B85" t="s">
        <v>81</v>
      </c>
      <c r="C85" s="2">
        <f>HYPERLINK("https://sao.dolgi.msk.ru/account/1404176808/", 1404176808)</f>
        <v>1404176808</v>
      </c>
      <c r="D85">
        <v>-9336.0400000000009</v>
      </c>
    </row>
    <row r="86" spans="1:4" hidden="1" x14ac:dyDescent="0.25">
      <c r="A86" t="s">
        <v>4</v>
      </c>
      <c r="B86" t="s">
        <v>82</v>
      </c>
      <c r="C86" s="2">
        <f>HYPERLINK("https://sao.dolgi.msk.ru/account/1404176461/", 1404176461)</f>
        <v>1404176461</v>
      </c>
      <c r="D86">
        <v>-6653.81</v>
      </c>
    </row>
    <row r="87" spans="1:4" hidden="1" x14ac:dyDescent="0.25">
      <c r="A87" t="s">
        <v>4</v>
      </c>
      <c r="B87" t="s">
        <v>83</v>
      </c>
      <c r="C87" s="2">
        <f>HYPERLINK("https://sao.dolgi.msk.ru/account/1404177296/", 1404177296)</f>
        <v>1404177296</v>
      </c>
      <c r="D87">
        <v>0</v>
      </c>
    </row>
    <row r="88" spans="1:4" hidden="1" x14ac:dyDescent="0.25">
      <c r="A88" t="s">
        <v>4</v>
      </c>
      <c r="B88" t="s">
        <v>84</v>
      </c>
      <c r="C88" s="2">
        <f>HYPERLINK("https://sao.dolgi.msk.ru/account/1404176824/", 1404176824)</f>
        <v>1404176824</v>
      </c>
      <c r="D88">
        <v>-4828.13</v>
      </c>
    </row>
    <row r="89" spans="1:4" hidden="1" x14ac:dyDescent="0.25">
      <c r="A89" t="s">
        <v>4</v>
      </c>
      <c r="B89" t="s">
        <v>85</v>
      </c>
      <c r="C89" s="2">
        <f>HYPERLINK("https://sao.dolgi.msk.ru/account/1404176832/", 1404176832)</f>
        <v>1404176832</v>
      </c>
      <c r="D89">
        <v>0</v>
      </c>
    </row>
    <row r="90" spans="1:4" hidden="1" x14ac:dyDescent="0.25">
      <c r="A90" t="s">
        <v>4</v>
      </c>
      <c r="B90" t="s">
        <v>86</v>
      </c>
      <c r="C90" s="2">
        <f>HYPERLINK("https://sao.dolgi.msk.ru/account/1404175135/", 1404175135)</f>
        <v>1404175135</v>
      </c>
      <c r="D90">
        <v>-8675.92</v>
      </c>
    </row>
    <row r="91" spans="1:4" hidden="1" x14ac:dyDescent="0.25">
      <c r="A91" t="s">
        <v>4</v>
      </c>
      <c r="B91" t="s">
        <v>87</v>
      </c>
      <c r="C91" s="2">
        <f>HYPERLINK("https://sao.dolgi.msk.ru/account/1404175143/", 1404175143)</f>
        <v>1404175143</v>
      </c>
      <c r="D91">
        <v>0</v>
      </c>
    </row>
    <row r="92" spans="1:4" hidden="1" x14ac:dyDescent="0.25">
      <c r="A92" t="s">
        <v>4</v>
      </c>
      <c r="B92" t="s">
        <v>88</v>
      </c>
      <c r="C92" s="2">
        <f>HYPERLINK("https://sao.dolgi.msk.ru/account/1404175151/", 1404175151)</f>
        <v>1404175151</v>
      </c>
      <c r="D92">
        <v>0</v>
      </c>
    </row>
    <row r="93" spans="1:4" hidden="1" x14ac:dyDescent="0.25">
      <c r="A93" t="s">
        <v>4</v>
      </c>
      <c r="B93" t="s">
        <v>89</v>
      </c>
      <c r="C93" s="2">
        <f>HYPERLINK("https://sao.dolgi.msk.ru/account/1404175178/", 1404175178)</f>
        <v>1404175178</v>
      </c>
      <c r="D93">
        <v>0</v>
      </c>
    </row>
    <row r="94" spans="1:4" hidden="1" x14ac:dyDescent="0.25">
      <c r="A94" t="s">
        <v>4</v>
      </c>
      <c r="B94" t="s">
        <v>90</v>
      </c>
      <c r="C94" s="2">
        <f>HYPERLINK("https://sao.dolgi.msk.ru/account/1404175936/", 1404175936)</f>
        <v>1404175936</v>
      </c>
      <c r="D94">
        <v>-7388.91</v>
      </c>
    </row>
    <row r="95" spans="1:4" hidden="1" x14ac:dyDescent="0.25">
      <c r="A95" t="s">
        <v>4</v>
      </c>
      <c r="B95" t="s">
        <v>91</v>
      </c>
      <c r="C95" s="2">
        <f>HYPERLINK("https://sao.dolgi.msk.ru/account/1404177464/", 1404177464)</f>
        <v>1404177464</v>
      </c>
      <c r="D95">
        <v>-6801.38</v>
      </c>
    </row>
    <row r="96" spans="1:4" hidden="1" x14ac:dyDescent="0.25">
      <c r="A96" t="s">
        <v>4</v>
      </c>
      <c r="B96" t="s">
        <v>92</v>
      </c>
      <c r="C96" s="2">
        <f>HYPERLINK("https://sao.dolgi.msk.ru/account/1404176699/", 1404176699)</f>
        <v>1404176699</v>
      </c>
      <c r="D96">
        <v>-8205.43</v>
      </c>
    </row>
    <row r="97" spans="1:4" hidden="1" x14ac:dyDescent="0.25">
      <c r="A97" t="s">
        <v>4</v>
      </c>
      <c r="B97" t="s">
        <v>93</v>
      </c>
      <c r="C97" s="2">
        <f>HYPERLINK("https://sao.dolgi.msk.ru/account/1404174984/", 1404174984)</f>
        <v>1404174984</v>
      </c>
      <c r="D97">
        <v>-9964.5300000000007</v>
      </c>
    </row>
    <row r="98" spans="1:4" hidden="1" x14ac:dyDescent="0.25">
      <c r="A98" t="s">
        <v>4</v>
      </c>
      <c r="B98" t="s">
        <v>94</v>
      </c>
      <c r="C98" s="2">
        <f>HYPERLINK("https://sao.dolgi.msk.ru/account/1404176373/", 1404176373)</f>
        <v>1404176373</v>
      </c>
      <c r="D98">
        <v>-9780.2900000000009</v>
      </c>
    </row>
    <row r="99" spans="1:4" hidden="1" x14ac:dyDescent="0.25">
      <c r="A99" t="s">
        <v>4</v>
      </c>
      <c r="B99" t="s">
        <v>95</v>
      </c>
      <c r="C99" s="2">
        <f>HYPERLINK("https://sao.dolgi.msk.ru/account/1404174992/", 1404174992)</f>
        <v>1404174992</v>
      </c>
      <c r="D99">
        <v>-7761.51</v>
      </c>
    </row>
    <row r="100" spans="1:4" hidden="1" x14ac:dyDescent="0.25">
      <c r="A100" t="s">
        <v>4</v>
      </c>
      <c r="B100" t="s">
        <v>96</v>
      </c>
      <c r="C100" s="2">
        <f>HYPERLINK("https://sao.dolgi.msk.ru/account/1404177122/", 1404177122)</f>
        <v>1404177122</v>
      </c>
      <c r="D100">
        <v>0</v>
      </c>
    </row>
    <row r="101" spans="1:4" x14ac:dyDescent="0.25">
      <c r="A101" t="s">
        <v>4</v>
      </c>
      <c r="B101" t="s">
        <v>97</v>
      </c>
      <c r="C101" s="2">
        <f>HYPERLINK("https://sao.dolgi.msk.ru/account/1404177149/", 1404177149)</f>
        <v>1404177149</v>
      </c>
      <c r="D101">
        <v>14685.4</v>
      </c>
    </row>
    <row r="102" spans="1:4" hidden="1" x14ac:dyDescent="0.25">
      <c r="A102" t="s">
        <v>4</v>
      </c>
      <c r="B102" t="s">
        <v>98</v>
      </c>
      <c r="C102" s="2">
        <f>HYPERLINK("https://sao.dolgi.msk.ru/account/1404175338/", 1404175338)</f>
        <v>1404175338</v>
      </c>
      <c r="D102">
        <v>0</v>
      </c>
    </row>
    <row r="103" spans="1:4" hidden="1" x14ac:dyDescent="0.25">
      <c r="A103" t="s">
        <v>4</v>
      </c>
      <c r="B103" t="s">
        <v>99</v>
      </c>
      <c r="C103" s="2">
        <f>HYPERLINK("https://sao.dolgi.msk.ru/account/1404175346/", 1404175346)</f>
        <v>1404175346</v>
      </c>
      <c r="D103">
        <v>0</v>
      </c>
    </row>
    <row r="104" spans="1:4" x14ac:dyDescent="0.25">
      <c r="A104" t="s">
        <v>4</v>
      </c>
      <c r="B104" t="s">
        <v>100</v>
      </c>
      <c r="C104" s="2">
        <f>HYPERLINK("https://sao.dolgi.msk.ru/account/1404176963/", 1404176963)</f>
        <v>1404176963</v>
      </c>
      <c r="D104">
        <v>12512.29</v>
      </c>
    </row>
    <row r="105" spans="1:4" hidden="1" x14ac:dyDescent="0.25">
      <c r="A105" t="s">
        <v>4</v>
      </c>
      <c r="B105" t="s">
        <v>101</v>
      </c>
      <c r="C105" s="2">
        <f>HYPERLINK("https://sao.dolgi.msk.ru/account/1404177472/", 1404177472)</f>
        <v>1404177472</v>
      </c>
      <c r="D105">
        <v>-7185.47</v>
      </c>
    </row>
    <row r="106" spans="1:4" hidden="1" x14ac:dyDescent="0.25">
      <c r="A106" t="s">
        <v>4</v>
      </c>
      <c r="B106" t="s">
        <v>102</v>
      </c>
      <c r="C106" s="2">
        <f>HYPERLINK("https://sao.dolgi.msk.ru/account/1404175004/", 1404175004)</f>
        <v>1404175004</v>
      </c>
      <c r="D106">
        <v>-8186.11</v>
      </c>
    </row>
    <row r="107" spans="1:4" hidden="1" x14ac:dyDescent="0.25">
      <c r="A107" t="s">
        <v>4</v>
      </c>
      <c r="B107" t="s">
        <v>103</v>
      </c>
      <c r="C107" s="2">
        <f>HYPERLINK("https://sao.dolgi.msk.ru/account/1404175733/", 1404175733)</f>
        <v>1404175733</v>
      </c>
      <c r="D107">
        <v>-5101.38</v>
      </c>
    </row>
    <row r="108" spans="1:4" hidden="1" x14ac:dyDescent="0.25">
      <c r="A108" t="s">
        <v>4</v>
      </c>
      <c r="B108" t="s">
        <v>104</v>
      </c>
      <c r="C108" s="2">
        <f>HYPERLINK("https://sao.dolgi.msk.ru/account/1404175688/", 1404175688)</f>
        <v>1404175688</v>
      </c>
      <c r="D108">
        <v>0</v>
      </c>
    </row>
    <row r="109" spans="1:4" hidden="1" x14ac:dyDescent="0.25">
      <c r="A109" t="s">
        <v>4</v>
      </c>
      <c r="B109" t="s">
        <v>105</v>
      </c>
      <c r="C109" s="2">
        <f>HYPERLINK("https://sao.dolgi.msk.ru/account/1404177042/", 1404177042)</f>
        <v>1404177042</v>
      </c>
      <c r="D109">
        <v>-7022.89</v>
      </c>
    </row>
    <row r="110" spans="1:4" hidden="1" x14ac:dyDescent="0.25">
      <c r="A110" t="s">
        <v>4</v>
      </c>
      <c r="B110" t="s">
        <v>106</v>
      </c>
      <c r="C110" s="2">
        <f>HYPERLINK("https://sao.dolgi.msk.ru/account/1404176752/", 1404176752)</f>
        <v>1404176752</v>
      </c>
      <c r="D110">
        <v>-5277.38</v>
      </c>
    </row>
    <row r="111" spans="1:4" hidden="1" x14ac:dyDescent="0.25">
      <c r="A111" t="s">
        <v>4</v>
      </c>
      <c r="B111" t="s">
        <v>107</v>
      </c>
      <c r="C111" s="2">
        <f>HYPERLINK("https://sao.dolgi.msk.ru/account/1404177077/", 1404177077)</f>
        <v>1404177077</v>
      </c>
      <c r="D111">
        <v>-7417.82</v>
      </c>
    </row>
    <row r="112" spans="1:4" x14ac:dyDescent="0.25">
      <c r="A112" t="s">
        <v>4</v>
      </c>
      <c r="B112" t="s">
        <v>108</v>
      </c>
      <c r="C112" s="2">
        <f>HYPERLINK("https://sao.dolgi.msk.ru/account/1404175709/", 1404175709)</f>
        <v>1404175709</v>
      </c>
      <c r="D112">
        <v>8380.4</v>
      </c>
    </row>
    <row r="113" spans="1:4" hidden="1" x14ac:dyDescent="0.25">
      <c r="A113" t="s">
        <v>4</v>
      </c>
      <c r="B113" t="s">
        <v>109</v>
      </c>
      <c r="C113" s="2">
        <f>HYPERLINK("https://sao.dolgi.msk.ru/account/1404175434/", 1404175434)</f>
        <v>1404175434</v>
      </c>
      <c r="D113">
        <v>-7075.35</v>
      </c>
    </row>
    <row r="114" spans="1:4" hidden="1" x14ac:dyDescent="0.25">
      <c r="A114" t="s">
        <v>4</v>
      </c>
      <c r="B114" t="s">
        <v>110</v>
      </c>
      <c r="C114" s="2">
        <f>HYPERLINK("https://sao.dolgi.msk.ru/account/1404176015/", 1404176015)</f>
        <v>1404176015</v>
      </c>
      <c r="D114">
        <v>0</v>
      </c>
    </row>
    <row r="115" spans="1:4" hidden="1" x14ac:dyDescent="0.25">
      <c r="A115" t="s">
        <v>4</v>
      </c>
      <c r="B115" t="s">
        <v>111</v>
      </c>
      <c r="C115" s="2">
        <f>HYPERLINK("https://sao.dolgi.msk.ru/account/1404175442/", 1404175442)</f>
        <v>1404175442</v>
      </c>
      <c r="D115">
        <v>0</v>
      </c>
    </row>
    <row r="116" spans="1:4" hidden="1" x14ac:dyDescent="0.25">
      <c r="A116" t="s">
        <v>4</v>
      </c>
      <c r="B116" t="s">
        <v>112</v>
      </c>
      <c r="C116" s="2">
        <f>HYPERLINK("https://sao.dolgi.msk.ru/account/1404177085/", 1404177085)</f>
        <v>1404177085</v>
      </c>
      <c r="D116">
        <v>-7474.87</v>
      </c>
    </row>
    <row r="117" spans="1:4" hidden="1" x14ac:dyDescent="0.25">
      <c r="A117" t="s">
        <v>4</v>
      </c>
      <c r="B117" t="s">
        <v>113</v>
      </c>
      <c r="C117" s="2">
        <f>HYPERLINK("https://sao.dolgi.msk.ru/account/1404175063/", 1404175063)</f>
        <v>1404175063</v>
      </c>
      <c r="D117">
        <v>-8421.2800000000007</v>
      </c>
    </row>
    <row r="118" spans="1:4" hidden="1" x14ac:dyDescent="0.25">
      <c r="A118" t="s">
        <v>4</v>
      </c>
      <c r="B118" t="s">
        <v>114</v>
      </c>
      <c r="C118" s="2">
        <f>HYPERLINK("https://sao.dolgi.msk.ru/account/1404175071/", 1404175071)</f>
        <v>1404175071</v>
      </c>
      <c r="D118">
        <v>-8620.5400000000009</v>
      </c>
    </row>
    <row r="119" spans="1:4" hidden="1" x14ac:dyDescent="0.25">
      <c r="A119" t="s">
        <v>4</v>
      </c>
      <c r="B119" t="s">
        <v>115</v>
      </c>
      <c r="C119" s="2">
        <f>HYPERLINK("https://sao.dolgi.msk.ru/account/1404175717/", 1404175717)</f>
        <v>1404175717</v>
      </c>
      <c r="D119">
        <v>-6284.88</v>
      </c>
    </row>
    <row r="120" spans="1:4" hidden="1" x14ac:dyDescent="0.25">
      <c r="A120" t="s">
        <v>4</v>
      </c>
      <c r="B120" t="s">
        <v>116</v>
      </c>
      <c r="C120" s="2">
        <f>HYPERLINK("https://sao.dolgi.msk.ru/account/1404175469/", 1404175469)</f>
        <v>1404175469</v>
      </c>
      <c r="D120">
        <v>-10457.52</v>
      </c>
    </row>
    <row r="121" spans="1:4" x14ac:dyDescent="0.25">
      <c r="A121" t="s">
        <v>4</v>
      </c>
      <c r="B121" t="s">
        <v>117</v>
      </c>
      <c r="C121" s="2">
        <f>HYPERLINK("https://sao.dolgi.msk.ru/account/1404177093/", 1404177093)</f>
        <v>1404177093</v>
      </c>
      <c r="D121">
        <v>19017.38</v>
      </c>
    </row>
    <row r="122" spans="1:4" x14ac:dyDescent="0.25">
      <c r="A122" t="s">
        <v>4</v>
      </c>
      <c r="B122" t="s">
        <v>118</v>
      </c>
      <c r="C122" s="2">
        <f>HYPERLINK("https://sao.dolgi.msk.ru/account/1404177106/", 1404177106)</f>
        <v>1404177106</v>
      </c>
      <c r="D122">
        <v>10356.23</v>
      </c>
    </row>
    <row r="123" spans="1:4" hidden="1" x14ac:dyDescent="0.25">
      <c r="A123" t="s">
        <v>4</v>
      </c>
      <c r="B123" t="s">
        <v>119</v>
      </c>
      <c r="C123" s="2">
        <f>HYPERLINK("https://sao.dolgi.msk.ru/account/1404175725/", 1404175725)</f>
        <v>1404175725</v>
      </c>
      <c r="D123">
        <v>-12349.64</v>
      </c>
    </row>
    <row r="124" spans="1:4" x14ac:dyDescent="0.25">
      <c r="A124" t="s">
        <v>4</v>
      </c>
      <c r="B124" t="s">
        <v>120</v>
      </c>
      <c r="C124" s="2">
        <f>HYPERLINK("https://sao.dolgi.msk.ru/account/1404176453/", 1404176453)</f>
        <v>1404176453</v>
      </c>
      <c r="D124">
        <v>16392.41</v>
      </c>
    </row>
    <row r="125" spans="1:4" hidden="1" x14ac:dyDescent="0.25">
      <c r="A125" t="s">
        <v>4</v>
      </c>
      <c r="B125" t="s">
        <v>121</v>
      </c>
      <c r="C125" s="2">
        <f>HYPERLINK("https://sao.dolgi.msk.ru/account/1404177528/", 1404177528)</f>
        <v>1404177528</v>
      </c>
      <c r="D125">
        <v>0</v>
      </c>
    </row>
    <row r="126" spans="1:4" x14ac:dyDescent="0.25">
      <c r="A126" t="s">
        <v>4</v>
      </c>
      <c r="B126" t="s">
        <v>122</v>
      </c>
      <c r="C126" s="2">
        <f>HYPERLINK("https://sao.dolgi.msk.ru/account/1404177114/", 1404177114)</f>
        <v>1404177114</v>
      </c>
      <c r="D126">
        <v>6288.32</v>
      </c>
    </row>
    <row r="127" spans="1:4" hidden="1" x14ac:dyDescent="0.25">
      <c r="A127" t="s">
        <v>4</v>
      </c>
      <c r="B127" t="s">
        <v>123</v>
      </c>
      <c r="C127" s="2">
        <f>HYPERLINK("https://sao.dolgi.msk.ru/account/1404176779/", 1404176779)</f>
        <v>1404176779</v>
      </c>
      <c r="D127">
        <v>0</v>
      </c>
    </row>
    <row r="128" spans="1:4" x14ac:dyDescent="0.25">
      <c r="A128" t="s">
        <v>4</v>
      </c>
      <c r="B128" t="s">
        <v>124</v>
      </c>
      <c r="C128" s="2">
        <f>HYPERLINK("https://sao.dolgi.msk.ru/account/1404177536/", 1404177536)</f>
        <v>1404177536</v>
      </c>
      <c r="D128">
        <v>11936.86</v>
      </c>
    </row>
    <row r="129" spans="1:4" hidden="1" x14ac:dyDescent="0.25">
      <c r="A129" t="s">
        <v>4</v>
      </c>
      <c r="B129" t="s">
        <v>125</v>
      </c>
      <c r="C129" s="2">
        <f>HYPERLINK("https://sao.dolgi.msk.ru/account/1404175012/", 1404175012)</f>
        <v>1404175012</v>
      </c>
      <c r="D129">
        <v>-9243.49</v>
      </c>
    </row>
    <row r="130" spans="1:4" hidden="1" x14ac:dyDescent="0.25">
      <c r="A130" t="s">
        <v>4</v>
      </c>
      <c r="B130" t="s">
        <v>126</v>
      </c>
      <c r="C130" s="2">
        <f>HYPERLINK("https://sao.dolgi.msk.ru/account/1404176381/", 1404176381)</f>
        <v>1404176381</v>
      </c>
      <c r="D130">
        <v>0</v>
      </c>
    </row>
    <row r="131" spans="1:4" hidden="1" x14ac:dyDescent="0.25">
      <c r="A131" t="s">
        <v>4</v>
      </c>
      <c r="B131" t="s">
        <v>127</v>
      </c>
      <c r="C131" s="2">
        <f>HYPERLINK("https://sao.dolgi.msk.ru/account/1404176971/", 1404176971)</f>
        <v>1404176971</v>
      </c>
      <c r="D131">
        <v>-6531.57</v>
      </c>
    </row>
    <row r="132" spans="1:4" hidden="1" x14ac:dyDescent="0.25">
      <c r="A132" t="s">
        <v>4</v>
      </c>
      <c r="B132" t="s">
        <v>128</v>
      </c>
      <c r="C132" s="2">
        <f>HYPERLINK("https://sao.dolgi.msk.ru/account/1404174757/", 1404174757)</f>
        <v>1404174757</v>
      </c>
      <c r="D132">
        <v>-7900.46</v>
      </c>
    </row>
    <row r="133" spans="1:4" hidden="1" x14ac:dyDescent="0.25">
      <c r="A133" t="s">
        <v>4</v>
      </c>
      <c r="B133" t="s">
        <v>129</v>
      </c>
      <c r="C133" s="2">
        <f>HYPERLINK("https://sao.dolgi.msk.ru/account/1404176082/", 1404176082)</f>
        <v>1404176082</v>
      </c>
      <c r="D133">
        <v>-3029.63</v>
      </c>
    </row>
    <row r="134" spans="1:4" hidden="1" x14ac:dyDescent="0.25">
      <c r="A134" t="s">
        <v>4</v>
      </c>
      <c r="B134" t="s">
        <v>130</v>
      </c>
      <c r="C134" s="2">
        <f>HYPERLINK("https://sao.dolgi.msk.ru/account/1404177229/", 1404177229)</f>
        <v>1404177229</v>
      </c>
      <c r="D134">
        <v>0</v>
      </c>
    </row>
    <row r="135" spans="1:4" hidden="1" x14ac:dyDescent="0.25">
      <c r="A135" t="s">
        <v>4</v>
      </c>
      <c r="B135" t="s">
        <v>131</v>
      </c>
      <c r="C135" s="2">
        <f>HYPERLINK("https://sao.dolgi.msk.ru/account/1404176066/", 1404176066)</f>
        <v>1404176066</v>
      </c>
      <c r="D135">
        <v>-4288.91</v>
      </c>
    </row>
    <row r="136" spans="1:4" x14ac:dyDescent="0.25">
      <c r="A136" t="s">
        <v>4</v>
      </c>
      <c r="B136" t="s">
        <v>132</v>
      </c>
      <c r="C136" s="2">
        <f>HYPERLINK("https://sao.dolgi.msk.ru/account/1404176074/", 1404176074)</f>
        <v>1404176074</v>
      </c>
      <c r="D136">
        <v>6914.79</v>
      </c>
    </row>
    <row r="137" spans="1:4" x14ac:dyDescent="0.25">
      <c r="A137" t="s">
        <v>4</v>
      </c>
      <c r="B137" t="s">
        <v>133</v>
      </c>
      <c r="C137" s="2">
        <f>HYPERLINK("https://sao.dolgi.msk.ru/account/1404176795/", 1404176795)</f>
        <v>1404176795</v>
      </c>
      <c r="D137">
        <v>29922.02</v>
      </c>
    </row>
    <row r="138" spans="1:4" x14ac:dyDescent="0.25">
      <c r="A138" t="s">
        <v>4</v>
      </c>
      <c r="B138" t="s">
        <v>134</v>
      </c>
      <c r="C138" s="2">
        <f>HYPERLINK("https://sao.dolgi.msk.ru/account/1404177245/", 1404177245)</f>
        <v>1404177245</v>
      </c>
      <c r="D138">
        <v>7234.23</v>
      </c>
    </row>
    <row r="139" spans="1:4" x14ac:dyDescent="0.25">
      <c r="A139" t="s">
        <v>4</v>
      </c>
      <c r="B139" t="s">
        <v>135</v>
      </c>
      <c r="C139" s="2">
        <f>HYPERLINK("https://sao.dolgi.msk.ru/account/1404177157/", 1404177157)</f>
        <v>1404177157</v>
      </c>
      <c r="D139">
        <v>5035.46</v>
      </c>
    </row>
    <row r="140" spans="1:4" hidden="1" x14ac:dyDescent="0.25">
      <c r="A140" t="s">
        <v>4</v>
      </c>
      <c r="B140" t="s">
        <v>136</v>
      </c>
      <c r="C140" s="2">
        <f>HYPERLINK("https://sao.dolgi.msk.ru/account/1404177165/", 1404177165)</f>
        <v>1404177165</v>
      </c>
      <c r="D140">
        <v>0</v>
      </c>
    </row>
    <row r="141" spans="1:4" hidden="1" x14ac:dyDescent="0.25">
      <c r="A141" t="s">
        <v>4</v>
      </c>
      <c r="B141" t="s">
        <v>137</v>
      </c>
      <c r="C141" s="2">
        <f>HYPERLINK("https://sao.dolgi.msk.ru/account/1404176023/", 1404176023)</f>
        <v>1404176023</v>
      </c>
      <c r="D141">
        <v>0</v>
      </c>
    </row>
    <row r="142" spans="1:4" hidden="1" x14ac:dyDescent="0.25">
      <c r="A142" t="s">
        <v>4</v>
      </c>
      <c r="B142" t="s">
        <v>138</v>
      </c>
      <c r="C142" s="2">
        <f>HYPERLINK("https://sao.dolgi.msk.ru/account/1404177173/", 1404177173)</f>
        <v>1404177173</v>
      </c>
      <c r="D142">
        <v>-16173.8</v>
      </c>
    </row>
    <row r="143" spans="1:4" hidden="1" x14ac:dyDescent="0.25">
      <c r="A143" t="s">
        <v>4</v>
      </c>
      <c r="B143" t="s">
        <v>139</v>
      </c>
      <c r="C143" s="2">
        <f>HYPERLINK("https://sao.dolgi.msk.ru/account/1404175485/", 1404175485)</f>
        <v>1404175485</v>
      </c>
      <c r="D143">
        <v>0</v>
      </c>
    </row>
    <row r="144" spans="1:4" hidden="1" x14ac:dyDescent="0.25">
      <c r="A144" t="s">
        <v>4</v>
      </c>
      <c r="B144" t="s">
        <v>140</v>
      </c>
      <c r="C144" s="2">
        <f>HYPERLINK("https://sao.dolgi.msk.ru/account/1404176031/", 1404176031)</f>
        <v>1404176031</v>
      </c>
      <c r="D144">
        <v>-12812.93</v>
      </c>
    </row>
    <row r="145" spans="1:4" hidden="1" x14ac:dyDescent="0.25">
      <c r="A145" t="s">
        <v>4</v>
      </c>
      <c r="B145" t="s">
        <v>141</v>
      </c>
      <c r="C145" s="2">
        <f>HYPERLINK("https://sao.dolgi.msk.ru/account/1404174706/", 1404174706)</f>
        <v>1404174706</v>
      </c>
      <c r="D145">
        <v>-9383.85</v>
      </c>
    </row>
    <row r="146" spans="1:4" hidden="1" x14ac:dyDescent="0.25">
      <c r="A146" t="s">
        <v>4</v>
      </c>
      <c r="B146" t="s">
        <v>142</v>
      </c>
      <c r="C146" s="2">
        <f>HYPERLINK("https://sao.dolgi.msk.ru/account/1404174714/", 1404174714)</f>
        <v>1404174714</v>
      </c>
      <c r="D146">
        <v>0</v>
      </c>
    </row>
    <row r="147" spans="1:4" hidden="1" x14ac:dyDescent="0.25">
      <c r="A147" t="s">
        <v>4</v>
      </c>
      <c r="B147" t="s">
        <v>143</v>
      </c>
      <c r="C147" s="2">
        <f>HYPERLINK("https://sao.dolgi.msk.ru/account/1404175098/", 1404175098)</f>
        <v>1404175098</v>
      </c>
      <c r="D147">
        <v>-4348.29</v>
      </c>
    </row>
    <row r="148" spans="1:4" hidden="1" x14ac:dyDescent="0.25">
      <c r="A148" t="s">
        <v>4</v>
      </c>
      <c r="B148" t="s">
        <v>144</v>
      </c>
      <c r="C148" s="2">
        <f>HYPERLINK("https://sao.dolgi.msk.ru/account/1404176058/", 1404176058)</f>
        <v>1404176058</v>
      </c>
      <c r="D148">
        <v>0</v>
      </c>
    </row>
    <row r="149" spans="1:4" hidden="1" x14ac:dyDescent="0.25">
      <c r="A149" t="s">
        <v>4</v>
      </c>
      <c r="B149" t="s">
        <v>145</v>
      </c>
      <c r="C149" s="2">
        <f>HYPERLINK("https://sao.dolgi.msk.ru/account/1404175741/", 1404175741)</f>
        <v>1404175741</v>
      </c>
      <c r="D149">
        <v>-6250.85</v>
      </c>
    </row>
    <row r="150" spans="1:4" hidden="1" x14ac:dyDescent="0.25">
      <c r="A150" t="s">
        <v>4</v>
      </c>
      <c r="B150" t="s">
        <v>146</v>
      </c>
      <c r="C150" s="2">
        <f>HYPERLINK("https://sao.dolgi.msk.ru/account/1404175119/", 1404175119)</f>
        <v>1404175119</v>
      </c>
      <c r="D150">
        <v>0</v>
      </c>
    </row>
    <row r="151" spans="1:4" x14ac:dyDescent="0.25">
      <c r="A151" t="s">
        <v>4</v>
      </c>
      <c r="B151" t="s">
        <v>147</v>
      </c>
      <c r="C151" s="2">
        <f>HYPERLINK("https://sao.dolgi.msk.ru/account/1404177202/", 1404177202)</f>
        <v>1404177202</v>
      </c>
      <c r="D151">
        <v>749.33</v>
      </c>
    </row>
    <row r="152" spans="1:4" hidden="1" x14ac:dyDescent="0.25">
      <c r="A152" t="s">
        <v>4</v>
      </c>
      <c r="B152" t="s">
        <v>148</v>
      </c>
      <c r="C152" s="2">
        <f>HYPERLINK("https://sao.dolgi.msk.ru/account/1404174722/", 1404174722)</f>
        <v>1404174722</v>
      </c>
      <c r="D152">
        <v>-10611.71</v>
      </c>
    </row>
    <row r="153" spans="1:4" hidden="1" x14ac:dyDescent="0.25">
      <c r="A153" t="s">
        <v>4</v>
      </c>
      <c r="B153" t="s">
        <v>149</v>
      </c>
      <c r="C153" s="2">
        <f>HYPERLINK("https://sao.dolgi.msk.ru/account/1404176787/", 1404176787)</f>
        <v>1404176787</v>
      </c>
      <c r="D153">
        <v>-9942.75</v>
      </c>
    </row>
    <row r="154" spans="1:4" hidden="1" x14ac:dyDescent="0.25">
      <c r="A154" t="s">
        <v>4</v>
      </c>
      <c r="B154" t="s">
        <v>150</v>
      </c>
      <c r="C154" s="2">
        <f>HYPERLINK("https://sao.dolgi.msk.ru/account/1404175493/", 1404175493)</f>
        <v>1404175493</v>
      </c>
      <c r="D154">
        <v>-9065.1</v>
      </c>
    </row>
    <row r="155" spans="1:4" x14ac:dyDescent="0.25">
      <c r="A155" t="s">
        <v>4</v>
      </c>
      <c r="B155" t="s">
        <v>151</v>
      </c>
      <c r="C155" s="2">
        <f>HYPERLINK("https://sao.dolgi.msk.ru/account/1404174749/", 1404174749)</f>
        <v>1404174749</v>
      </c>
      <c r="D155">
        <v>5918.13</v>
      </c>
    </row>
    <row r="156" spans="1:4" hidden="1" x14ac:dyDescent="0.25">
      <c r="A156" t="s">
        <v>4</v>
      </c>
      <c r="B156" t="s">
        <v>152</v>
      </c>
      <c r="C156" s="2">
        <f>HYPERLINK("https://sao.dolgi.msk.ru/account/1404175274/", 1404175274)</f>
        <v>1404175274</v>
      </c>
      <c r="D156">
        <v>0</v>
      </c>
    </row>
    <row r="157" spans="1:4" hidden="1" x14ac:dyDescent="0.25">
      <c r="A157" t="s">
        <v>4</v>
      </c>
      <c r="B157" t="s">
        <v>153</v>
      </c>
      <c r="C157" s="2">
        <f>HYPERLINK("https://sao.dolgi.msk.ru/account/1404175813/", 1404175813)</f>
        <v>1404175813</v>
      </c>
      <c r="D157">
        <v>0</v>
      </c>
    </row>
    <row r="158" spans="1:4" hidden="1" x14ac:dyDescent="0.25">
      <c r="A158" t="s">
        <v>4</v>
      </c>
      <c r="B158" t="s">
        <v>154</v>
      </c>
      <c r="C158" s="2">
        <f>HYPERLINK("https://sao.dolgi.msk.ru/account/1404175565/", 1404175565)</f>
        <v>1404175565</v>
      </c>
      <c r="D158">
        <v>-8661.81</v>
      </c>
    </row>
    <row r="159" spans="1:4" x14ac:dyDescent="0.25">
      <c r="A159" t="s">
        <v>4</v>
      </c>
      <c r="B159" t="s">
        <v>155</v>
      </c>
      <c r="C159" s="2">
        <f>HYPERLINK("https://sao.dolgi.msk.ru/account/1404176891/", 1404176891)</f>
        <v>1404176891</v>
      </c>
      <c r="D159">
        <v>4775.4799999999996</v>
      </c>
    </row>
    <row r="160" spans="1:4" hidden="1" x14ac:dyDescent="0.25">
      <c r="A160" t="s">
        <v>4</v>
      </c>
      <c r="B160" t="s">
        <v>156</v>
      </c>
      <c r="C160" s="2">
        <f>HYPERLINK("https://sao.dolgi.msk.ru/account/1404176584/", 1404176584)</f>
        <v>1404176584</v>
      </c>
      <c r="D160">
        <v>-5528.41</v>
      </c>
    </row>
    <row r="161" spans="1:4" hidden="1" x14ac:dyDescent="0.25">
      <c r="A161" t="s">
        <v>4</v>
      </c>
      <c r="B161" t="s">
        <v>157</v>
      </c>
      <c r="C161" s="2">
        <f>HYPERLINK("https://sao.dolgi.msk.ru/account/1404175573/", 1404175573)</f>
        <v>1404175573</v>
      </c>
      <c r="D161">
        <v>-6342.17</v>
      </c>
    </row>
    <row r="162" spans="1:4" hidden="1" x14ac:dyDescent="0.25">
      <c r="A162" t="s">
        <v>4</v>
      </c>
      <c r="B162" t="s">
        <v>158</v>
      </c>
      <c r="C162" s="2">
        <f>HYPERLINK("https://sao.dolgi.msk.ru/account/1404177368/", 1404177368)</f>
        <v>1404177368</v>
      </c>
      <c r="D162">
        <v>0</v>
      </c>
    </row>
    <row r="163" spans="1:4" hidden="1" x14ac:dyDescent="0.25">
      <c r="A163" t="s">
        <v>4</v>
      </c>
      <c r="B163" t="s">
        <v>159</v>
      </c>
      <c r="C163" s="2">
        <f>HYPERLINK("https://sao.dolgi.msk.ru/account/1404177376/", 1404177376)</f>
        <v>1404177376</v>
      </c>
      <c r="D163">
        <v>-4172.1899999999996</v>
      </c>
    </row>
    <row r="164" spans="1:4" hidden="1" x14ac:dyDescent="0.25">
      <c r="A164" t="s">
        <v>4</v>
      </c>
      <c r="B164" t="s">
        <v>160</v>
      </c>
      <c r="C164" s="2">
        <f>HYPERLINK("https://sao.dolgi.msk.ru/account/1404176269/", 1404176269)</f>
        <v>1404176269</v>
      </c>
      <c r="D164">
        <v>-5271.36</v>
      </c>
    </row>
    <row r="165" spans="1:4" x14ac:dyDescent="0.25">
      <c r="A165" t="s">
        <v>4</v>
      </c>
      <c r="B165" t="s">
        <v>161</v>
      </c>
      <c r="C165" s="2">
        <f>HYPERLINK("https://sao.dolgi.msk.ru/account/1404176592/", 1404176592)</f>
        <v>1404176592</v>
      </c>
      <c r="D165">
        <v>46790.85</v>
      </c>
    </row>
    <row r="166" spans="1:4" hidden="1" x14ac:dyDescent="0.25">
      <c r="A166" t="s">
        <v>4</v>
      </c>
      <c r="B166" t="s">
        <v>162</v>
      </c>
      <c r="C166" s="2">
        <f>HYPERLINK("https://sao.dolgi.msk.ru/account/1404175821/", 1404175821)</f>
        <v>1404175821</v>
      </c>
      <c r="D166">
        <v>-8858.43</v>
      </c>
    </row>
    <row r="167" spans="1:4" hidden="1" x14ac:dyDescent="0.25">
      <c r="A167" t="s">
        <v>4</v>
      </c>
      <c r="B167" t="s">
        <v>163</v>
      </c>
      <c r="C167" s="2">
        <f>HYPERLINK("https://sao.dolgi.msk.ru/account/1404177384/", 1404177384)</f>
        <v>1404177384</v>
      </c>
      <c r="D167">
        <v>0</v>
      </c>
    </row>
    <row r="168" spans="1:4" hidden="1" x14ac:dyDescent="0.25">
      <c r="A168" t="s">
        <v>4</v>
      </c>
      <c r="B168" t="s">
        <v>164</v>
      </c>
      <c r="C168" s="2">
        <f>HYPERLINK("https://sao.dolgi.msk.ru/account/1404177392/", 1404177392)</f>
        <v>1404177392</v>
      </c>
      <c r="D168">
        <v>-6446.17</v>
      </c>
    </row>
    <row r="169" spans="1:4" x14ac:dyDescent="0.25">
      <c r="A169" t="s">
        <v>4</v>
      </c>
      <c r="B169" t="s">
        <v>165</v>
      </c>
      <c r="C169" s="2">
        <f>HYPERLINK("https://sao.dolgi.msk.ru/account/1404175848/", 1404175848)</f>
        <v>1404175848</v>
      </c>
      <c r="D169">
        <v>19572.810000000001</v>
      </c>
    </row>
    <row r="170" spans="1:4" hidden="1" x14ac:dyDescent="0.25">
      <c r="A170" t="s">
        <v>4</v>
      </c>
      <c r="B170" t="s">
        <v>166</v>
      </c>
      <c r="C170" s="2">
        <f>HYPERLINK("https://sao.dolgi.msk.ru/account/1404176437/", 1404176437)</f>
        <v>1404176437</v>
      </c>
      <c r="D170">
        <v>-9421.06</v>
      </c>
    </row>
    <row r="171" spans="1:4" hidden="1" x14ac:dyDescent="0.25">
      <c r="A171" t="s">
        <v>4</v>
      </c>
      <c r="B171" t="s">
        <v>167</v>
      </c>
      <c r="C171" s="2">
        <f>HYPERLINK("https://sao.dolgi.msk.ru/account/1404175426/", 1404175426)</f>
        <v>1404175426</v>
      </c>
      <c r="D171">
        <v>0</v>
      </c>
    </row>
    <row r="172" spans="1:4" hidden="1" x14ac:dyDescent="0.25">
      <c r="A172" t="s">
        <v>4</v>
      </c>
      <c r="B172" t="s">
        <v>168</v>
      </c>
      <c r="C172" s="2">
        <f>HYPERLINK("https://sao.dolgi.msk.ru/account/1404177069/", 1404177069)</f>
        <v>1404177069</v>
      </c>
      <c r="D172">
        <v>-5623.86</v>
      </c>
    </row>
    <row r="173" spans="1:4" hidden="1" x14ac:dyDescent="0.25">
      <c r="A173" t="s">
        <v>4</v>
      </c>
      <c r="B173" t="s">
        <v>169</v>
      </c>
      <c r="C173" s="2">
        <f>HYPERLINK("https://sao.dolgi.msk.ru/account/1404177499/", 1404177499)</f>
        <v>1404177499</v>
      </c>
      <c r="D173">
        <v>0</v>
      </c>
    </row>
    <row r="174" spans="1:4" x14ac:dyDescent="0.25">
      <c r="A174" t="s">
        <v>4</v>
      </c>
      <c r="B174" t="s">
        <v>170</v>
      </c>
      <c r="C174" s="2">
        <f>HYPERLINK("https://sao.dolgi.msk.ru/account/1404175987/", 1404175987)</f>
        <v>1404175987</v>
      </c>
      <c r="D174">
        <v>2564.67</v>
      </c>
    </row>
    <row r="175" spans="1:4" x14ac:dyDescent="0.25">
      <c r="A175" t="s">
        <v>4</v>
      </c>
      <c r="B175" t="s">
        <v>171</v>
      </c>
      <c r="C175" s="2">
        <f>HYPERLINK("https://sao.dolgi.msk.ru/account/1404175995/", 1404175995)</f>
        <v>1404175995</v>
      </c>
      <c r="D175">
        <v>5028.62</v>
      </c>
    </row>
    <row r="176" spans="1:4" hidden="1" x14ac:dyDescent="0.25">
      <c r="A176" t="s">
        <v>4</v>
      </c>
      <c r="B176" t="s">
        <v>172</v>
      </c>
      <c r="C176" s="2">
        <f>HYPERLINK("https://sao.dolgi.msk.ru/account/1404175696/", 1404175696)</f>
        <v>1404175696</v>
      </c>
      <c r="D176">
        <v>-12318.33</v>
      </c>
    </row>
    <row r="177" spans="1:4" hidden="1" x14ac:dyDescent="0.25">
      <c r="A177" t="s">
        <v>4</v>
      </c>
      <c r="B177" t="s">
        <v>173</v>
      </c>
      <c r="C177" s="2">
        <f>HYPERLINK("https://sao.dolgi.msk.ru/account/1404177501/", 1404177501)</f>
        <v>1404177501</v>
      </c>
      <c r="D177">
        <v>0</v>
      </c>
    </row>
    <row r="178" spans="1:4" hidden="1" x14ac:dyDescent="0.25">
      <c r="A178" t="s">
        <v>4</v>
      </c>
      <c r="B178" t="s">
        <v>174</v>
      </c>
      <c r="C178" s="2">
        <f>HYPERLINK("https://sao.dolgi.msk.ru/account/1404175055/", 1404175055)</f>
        <v>1404175055</v>
      </c>
      <c r="D178">
        <v>0</v>
      </c>
    </row>
    <row r="179" spans="1:4" x14ac:dyDescent="0.25">
      <c r="A179" t="s">
        <v>4</v>
      </c>
      <c r="B179" t="s">
        <v>175</v>
      </c>
      <c r="C179" s="2">
        <f>HYPERLINK("https://sao.dolgi.msk.ru/account/1404176357/", 1404176357)</f>
        <v>1404176357</v>
      </c>
      <c r="D179">
        <v>17043.060000000001</v>
      </c>
    </row>
    <row r="180" spans="1:4" hidden="1" x14ac:dyDescent="0.25">
      <c r="A180" t="s">
        <v>4</v>
      </c>
      <c r="B180" t="s">
        <v>176</v>
      </c>
      <c r="C180" s="2">
        <f>HYPERLINK("https://sao.dolgi.msk.ru/account/1404176365/", 1404176365)</f>
        <v>1404176365</v>
      </c>
      <c r="D180">
        <v>-6135.87</v>
      </c>
    </row>
    <row r="181" spans="1:4" hidden="1" x14ac:dyDescent="0.25">
      <c r="A181" t="s">
        <v>4</v>
      </c>
      <c r="B181" t="s">
        <v>177</v>
      </c>
      <c r="C181" s="2">
        <f>HYPERLINK("https://sao.dolgi.msk.ru/account/1404177456/", 1404177456)</f>
        <v>1404177456</v>
      </c>
      <c r="D181">
        <v>-9915.32</v>
      </c>
    </row>
    <row r="182" spans="1:4" hidden="1" x14ac:dyDescent="0.25">
      <c r="A182" t="s">
        <v>4</v>
      </c>
      <c r="B182" t="s">
        <v>178</v>
      </c>
      <c r="C182" s="2">
        <f>HYPERLINK("https://sao.dolgi.msk.ru/account/1404175223/", 1404175223)</f>
        <v>1404175223</v>
      </c>
      <c r="D182">
        <v>0</v>
      </c>
    </row>
    <row r="183" spans="1:4" x14ac:dyDescent="0.25">
      <c r="A183" t="s">
        <v>4</v>
      </c>
      <c r="B183" t="s">
        <v>179</v>
      </c>
      <c r="C183" s="2">
        <f>HYPERLINK("https://sao.dolgi.msk.ru/account/1404175514/", 1404175514)</f>
        <v>1404175514</v>
      </c>
      <c r="D183">
        <v>7996.94</v>
      </c>
    </row>
    <row r="184" spans="1:4" hidden="1" x14ac:dyDescent="0.25">
      <c r="A184" t="s">
        <v>4</v>
      </c>
      <c r="B184" t="s">
        <v>180</v>
      </c>
      <c r="C184" s="2">
        <f>HYPERLINK("https://sao.dolgi.msk.ru/account/1404176218/", 1404176218)</f>
        <v>1404176218</v>
      </c>
      <c r="D184">
        <v>-5974.42</v>
      </c>
    </row>
    <row r="185" spans="1:4" hidden="1" x14ac:dyDescent="0.25">
      <c r="A185" t="s">
        <v>4</v>
      </c>
      <c r="B185" t="s">
        <v>181</v>
      </c>
      <c r="C185" s="2">
        <f>HYPERLINK("https://sao.dolgi.msk.ru/account/1404177309/", 1404177309)</f>
        <v>1404177309</v>
      </c>
      <c r="D185">
        <v>0</v>
      </c>
    </row>
    <row r="186" spans="1:4" hidden="1" x14ac:dyDescent="0.25">
      <c r="A186" t="s">
        <v>4</v>
      </c>
      <c r="B186" t="s">
        <v>182</v>
      </c>
      <c r="C186" s="2">
        <f>HYPERLINK("https://sao.dolgi.msk.ru/account/1404176226/", 1404176226)</f>
        <v>1404176226</v>
      </c>
      <c r="D186">
        <v>-3950.3</v>
      </c>
    </row>
    <row r="187" spans="1:4" hidden="1" x14ac:dyDescent="0.25">
      <c r="A187" t="s">
        <v>4</v>
      </c>
      <c r="B187" t="s">
        <v>183</v>
      </c>
      <c r="C187" s="2">
        <f>HYPERLINK("https://sao.dolgi.msk.ru/account/1404176541/", 1404176541)</f>
        <v>1404176541</v>
      </c>
      <c r="D187">
        <v>-8236.9</v>
      </c>
    </row>
    <row r="188" spans="1:4" hidden="1" x14ac:dyDescent="0.25">
      <c r="A188" t="s">
        <v>4</v>
      </c>
      <c r="B188" t="s">
        <v>184</v>
      </c>
      <c r="C188" s="2">
        <f>HYPERLINK("https://sao.dolgi.msk.ru/account/1404177325/", 1404177325)</f>
        <v>1404177325</v>
      </c>
      <c r="D188">
        <v>-6923.25</v>
      </c>
    </row>
    <row r="189" spans="1:4" hidden="1" x14ac:dyDescent="0.25">
      <c r="A189" t="s">
        <v>4</v>
      </c>
      <c r="B189" t="s">
        <v>185</v>
      </c>
      <c r="C189" s="2">
        <f>HYPERLINK("https://sao.dolgi.msk.ru/account/1404176146/", 1404176146)</f>
        <v>1404176146</v>
      </c>
      <c r="D189">
        <v>-6734.01</v>
      </c>
    </row>
    <row r="190" spans="1:4" hidden="1" x14ac:dyDescent="0.25">
      <c r="A190" t="s">
        <v>4</v>
      </c>
      <c r="B190" t="s">
        <v>186</v>
      </c>
      <c r="C190" s="2">
        <f>HYPERLINK("https://sao.dolgi.msk.ru/account/1404174802/", 1404174802)</f>
        <v>1404174802</v>
      </c>
      <c r="D190">
        <v>-10751.33</v>
      </c>
    </row>
    <row r="191" spans="1:4" x14ac:dyDescent="0.25">
      <c r="A191" t="s">
        <v>4</v>
      </c>
      <c r="B191" t="s">
        <v>187</v>
      </c>
      <c r="C191" s="2">
        <f>HYPERLINK("https://sao.dolgi.msk.ru/account/1404176154/", 1404176154)</f>
        <v>1404176154</v>
      </c>
      <c r="D191">
        <v>45890.83</v>
      </c>
    </row>
    <row r="192" spans="1:4" hidden="1" x14ac:dyDescent="0.25">
      <c r="A192" t="s">
        <v>4</v>
      </c>
      <c r="B192" t="s">
        <v>188</v>
      </c>
      <c r="C192" s="2">
        <f>HYPERLINK("https://sao.dolgi.msk.ru/account/1404176509/", 1404176509)</f>
        <v>1404176509</v>
      </c>
      <c r="D192">
        <v>-6363.87</v>
      </c>
    </row>
    <row r="193" spans="1:4" hidden="1" x14ac:dyDescent="0.25">
      <c r="A193" t="s">
        <v>4</v>
      </c>
      <c r="B193" t="s">
        <v>189</v>
      </c>
      <c r="C193" s="2">
        <f>HYPERLINK("https://sao.dolgi.msk.ru/account/1404176517/", 1404176517)</f>
        <v>1404176517</v>
      </c>
      <c r="D193">
        <v>-6699.78</v>
      </c>
    </row>
    <row r="194" spans="1:4" hidden="1" x14ac:dyDescent="0.25">
      <c r="A194" t="s">
        <v>4</v>
      </c>
      <c r="B194" t="s">
        <v>190</v>
      </c>
      <c r="C194" s="2">
        <f>HYPERLINK("https://sao.dolgi.msk.ru/account/1404176867/", 1404176867)</f>
        <v>1404176867</v>
      </c>
      <c r="D194">
        <v>-9473.89</v>
      </c>
    </row>
    <row r="195" spans="1:4" hidden="1" x14ac:dyDescent="0.25">
      <c r="A195" t="s">
        <v>4</v>
      </c>
      <c r="B195" t="s">
        <v>191</v>
      </c>
      <c r="C195" s="2">
        <f>HYPERLINK("https://sao.dolgi.msk.ru/account/1404176525/", 1404176525)</f>
        <v>1404176525</v>
      </c>
      <c r="D195">
        <v>-6735.88</v>
      </c>
    </row>
    <row r="196" spans="1:4" hidden="1" x14ac:dyDescent="0.25">
      <c r="A196" t="s">
        <v>4</v>
      </c>
      <c r="B196" t="s">
        <v>192</v>
      </c>
      <c r="C196" s="2">
        <f>HYPERLINK("https://sao.dolgi.msk.ru/account/1404174829/", 1404174829)</f>
        <v>1404174829</v>
      </c>
      <c r="D196">
        <v>-3137.64</v>
      </c>
    </row>
    <row r="197" spans="1:4" hidden="1" x14ac:dyDescent="0.25">
      <c r="A197" t="s">
        <v>4</v>
      </c>
      <c r="B197" t="s">
        <v>193</v>
      </c>
      <c r="C197" s="2">
        <f>HYPERLINK("https://sao.dolgi.msk.ru/account/1404175207/", 1404175207)</f>
        <v>1404175207</v>
      </c>
      <c r="D197">
        <v>-8915.7000000000007</v>
      </c>
    </row>
    <row r="198" spans="1:4" hidden="1" x14ac:dyDescent="0.25">
      <c r="A198" t="s">
        <v>4</v>
      </c>
      <c r="B198" t="s">
        <v>194</v>
      </c>
      <c r="C198" s="2">
        <f>HYPERLINK("https://sao.dolgi.msk.ru/account/1404175215/", 1404175215)</f>
        <v>1404175215</v>
      </c>
      <c r="D198">
        <v>-10938.99</v>
      </c>
    </row>
    <row r="199" spans="1:4" hidden="1" x14ac:dyDescent="0.25">
      <c r="A199" t="s">
        <v>4</v>
      </c>
      <c r="B199" t="s">
        <v>195</v>
      </c>
      <c r="C199" s="2">
        <f>HYPERLINK("https://sao.dolgi.msk.ru/account/1404176162/", 1404176162)</f>
        <v>1404176162</v>
      </c>
      <c r="D199">
        <v>-922.65</v>
      </c>
    </row>
    <row r="200" spans="1:4" hidden="1" x14ac:dyDescent="0.25">
      <c r="A200" t="s">
        <v>4</v>
      </c>
      <c r="B200" t="s">
        <v>196</v>
      </c>
      <c r="C200" s="2">
        <f>HYPERLINK("https://sao.dolgi.msk.ru/account/1404176189/", 1404176189)</f>
        <v>1404176189</v>
      </c>
      <c r="D200">
        <v>0</v>
      </c>
    </row>
    <row r="201" spans="1:4" hidden="1" x14ac:dyDescent="0.25">
      <c r="A201" t="s">
        <v>4</v>
      </c>
      <c r="B201" t="s">
        <v>197</v>
      </c>
      <c r="C201" s="2">
        <f>HYPERLINK("https://sao.dolgi.msk.ru/account/1404176197/", 1404176197)</f>
        <v>1404176197</v>
      </c>
      <c r="D201">
        <v>0</v>
      </c>
    </row>
    <row r="202" spans="1:4" hidden="1" x14ac:dyDescent="0.25">
      <c r="A202" t="s">
        <v>4</v>
      </c>
      <c r="B202" t="s">
        <v>197</v>
      </c>
      <c r="C202" s="2">
        <f>HYPERLINK("https://sao.dolgi.msk.ru/account/1404293932/", 1404293932)</f>
        <v>1404293932</v>
      </c>
      <c r="D202">
        <v>0</v>
      </c>
    </row>
    <row r="203" spans="1:4" hidden="1" x14ac:dyDescent="0.25">
      <c r="A203" t="s">
        <v>4</v>
      </c>
      <c r="B203" t="s">
        <v>198</v>
      </c>
      <c r="C203" s="2">
        <f>HYPERLINK("https://sao.dolgi.msk.ru/account/1404174837/", 1404174837)</f>
        <v>1404174837</v>
      </c>
      <c r="D203">
        <v>-10959.21</v>
      </c>
    </row>
    <row r="204" spans="1:4" x14ac:dyDescent="0.25">
      <c r="A204" t="s">
        <v>4</v>
      </c>
      <c r="B204" t="s">
        <v>199</v>
      </c>
      <c r="C204" s="2">
        <f>HYPERLINK("https://sao.dolgi.msk.ru/account/1404176277/", 1404176277)</f>
        <v>1404176277</v>
      </c>
      <c r="D204">
        <v>9459.23</v>
      </c>
    </row>
    <row r="205" spans="1:4" x14ac:dyDescent="0.25">
      <c r="A205" t="s">
        <v>4</v>
      </c>
      <c r="B205" t="s">
        <v>200</v>
      </c>
      <c r="C205" s="2">
        <f>HYPERLINK("https://sao.dolgi.msk.ru/account/1404174888/", 1404174888)</f>
        <v>1404174888</v>
      </c>
      <c r="D205">
        <v>9289.4500000000007</v>
      </c>
    </row>
    <row r="206" spans="1:4" x14ac:dyDescent="0.25">
      <c r="A206" t="s">
        <v>4</v>
      </c>
      <c r="B206" t="s">
        <v>201</v>
      </c>
      <c r="C206" s="2">
        <f>HYPERLINK("https://sao.dolgi.msk.ru/account/1404174896/", 1404174896)</f>
        <v>1404174896</v>
      </c>
      <c r="D206">
        <v>23842.87</v>
      </c>
    </row>
    <row r="207" spans="1:4" hidden="1" x14ac:dyDescent="0.25">
      <c r="A207" t="s">
        <v>4</v>
      </c>
      <c r="B207" t="s">
        <v>202</v>
      </c>
      <c r="C207" s="2">
        <f>HYPERLINK("https://sao.dolgi.msk.ru/account/1404177405/", 1404177405)</f>
        <v>1404177405</v>
      </c>
      <c r="D207">
        <v>-9333.07</v>
      </c>
    </row>
    <row r="208" spans="1:4" hidden="1" x14ac:dyDescent="0.25">
      <c r="A208" t="s">
        <v>4</v>
      </c>
      <c r="B208" t="s">
        <v>203</v>
      </c>
      <c r="C208" s="2">
        <f>HYPERLINK("https://sao.dolgi.msk.ru/account/1404176912/", 1404176912)</f>
        <v>1404176912</v>
      </c>
      <c r="D208">
        <v>-16757.11</v>
      </c>
    </row>
    <row r="209" spans="1:4" hidden="1" x14ac:dyDescent="0.25">
      <c r="A209" t="s">
        <v>4</v>
      </c>
      <c r="B209" t="s">
        <v>204</v>
      </c>
      <c r="C209" s="2">
        <f>HYPERLINK("https://sao.dolgi.msk.ru/account/1404176621/", 1404176621)</f>
        <v>1404176621</v>
      </c>
      <c r="D209">
        <v>-10256.64</v>
      </c>
    </row>
    <row r="210" spans="1:4" hidden="1" x14ac:dyDescent="0.25">
      <c r="A210" t="s">
        <v>4</v>
      </c>
      <c r="B210" t="s">
        <v>205</v>
      </c>
      <c r="C210" s="2">
        <f>HYPERLINK("https://sao.dolgi.msk.ru/account/1404176285/", 1404176285)</f>
        <v>1404176285</v>
      </c>
      <c r="D210">
        <v>-7594.52</v>
      </c>
    </row>
    <row r="211" spans="1:4" hidden="1" x14ac:dyDescent="0.25">
      <c r="A211" t="s">
        <v>4</v>
      </c>
      <c r="B211" t="s">
        <v>206</v>
      </c>
      <c r="C211" s="2">
        <f>HYPERLINK("https://sao.dolgi.msk.ru/account/1404176648/", 1404176648)</f>
        <v>1404176648</v>
      </c>
      <c r="D211">
        <v>0</v>
      </c>
    </row>
    <row r="212" spans="1:4" hidden="1" x14ac:dyDescent="0.25">
      <c r="A212" t="s">
        <v>4</v>
      </c>
      <c r="B212" t="s">
        <v>207</v>
      </c>
      <c r="C212" s="2">
        <f>HYPERLINK("https://sao.dolgi.msk.ru/account/1404176939/", 1404176939)</f>
        <v>1404176939</v>
      </c>
      <c r="D212">
        <v>0</v>
      </c>
    </row>
    <row r="213" spans="1:4" x14ac:dyDescent="0.25">
      <c r="A213" t="s">
        <v>4</v>
      </c>
      <c r="B213" t="s">
        <v>208</v>
      </c>
      <c r="C213" s="2">
        <f>HYPERLINK("https://sao.dolgi.msk.ru/account/1404175856/", 1404175856)</f>
        <v>1404175856</v>
      </c>
      <c r="D213">
        <v>32594.38</v>
      </c>
    </row>
    <row r="214" spans="1:4" hidden="1" x14ac:dyDescent="0.25">
      <c r="A214" t="s">
        <v>4</v>
      </c>
      <c r="B214" t="s">
        <v>209</v>
      </c>
      <c r="C214" s="2">
        <f>HYPERLINK("https://sao.dolgi.msk.ru/account/1404176947/", 1404176947)</f>
        <v>1404176947</v>
      </c>
      <c r="D214">
        <v>-10937.48</v>
      </c>
    </row>
    <row r="215" spans="1:4" hidden="1" x14ac:dyDescent="0.25">
      <c r="A215" t="s">
        <v>4</v>
      </c>
      <c r="B215" t="s">
        <v>210</v>
      </c>
      <c r="C215" s="2">
        <f>HYPERLINK("https://sao.dolgi.msk.ru/account/1404175581/", 1404175581)</f>
        <v>1404175581</v>
      </c>
      <c r="D215">
        <v>0</v>
      </c>
    </row>
    <row r="216" spans="1:4" hidden="1" x14ac:dyDescent="0.25">
      <c r="A216" t="s">
        <v>4</v>
      </c>
      <c r="B216" t="s">
        <v>211</v>
      </c>
      <c r="C216" s="2">
        <f>HYPERLINK("https://sao.dolgi.msk.ru/account/1404175282/", 1404175282)</f>
        <v>1404175282</v>
      </c>
      <c r="D216">
        <v>-6849.5</v>
      </c>
    </row>
    <row r="217" spans="1:4" hidden="1" x14ac:dyDescent="0.25">
      <c r="A217" t="s">
        <v>4</v>
      </c>
      <c r="B217" t="s">
        <v>212</v>
      </c>
      <c r="C217" s="2">
        <f>HYPERLINK("https://sao.dolgi.msk.ru/account/1404175602/", 1404175602)</f>
        <v>1404175602</v>
      </c>
      <c r="D217">
        <v>-7741.23</v>
      </c>
    </row>
    <row r="218" spans="1:4" hidden="1" x14ac:dyDescent="0.25">
      <c r="A218" t="s">
        <v>4</v>
      </c>
      <c r="B218" t="s">
        <v>213</v>
      </c>
      <c r="C218" s="2">
        <f>HYPERLINK("https://sao.dolgi.msk.ru/account/1404175303/", 1404175303)</f>
        <v>1404175303</v>
      </c>
      <c r="D218">
        <v>-7610.42</v>
      </c>
    </row>
    <row r="219" spans="1:4" hidden="1" x14ac:dyDescent="0.25">
      <c r="A219" t="s">
        <v>4</v>
      </c>
      <c r="B219" t="s">
        <v>214</v>
      </c>
      <c r="C219" s="2">
        <f>HYPERLINK("https://sao.dolgi.msk.ru/account/1404174845/", 1404174845)</f>
        <v>1404174845</v>
      </c>
      <c r="D219">
        <v>-8871.92</v>
      </c>
    </row>
    <row r="220" spans="1:4" hidden="1" x14ac:dyDescent="0.25">
      <c r="A220" t="s">
        <v>4</v>
      </c>
      <c r="B220" t="s">
        <v>215</v>
      </c>
      <c r="C220" s="2">
        <f>HYPERLINK("https://sao.dolgi.msk.ru/account/1404175557/", 1404175557)</f>
        <v>1404175557</v>
      </c>
      <c r="D220">
        <v>-10108.219999999999</v>
      </c>
    </row>
    <row r="221" spans="1:4" hidden="1" x14ac:dyDescent="0.25">
      <c r="A221" t="s">
        <v>4</v>
      </c>
      <c r="B221" t="s">
        <v>216</v>
      </c>
      <c r="C221" s="2">
        <f>HYPERLINK("https://sao.dolgi.msk.ru/account/1404177333/", 1404177333)</f>
        <v>1404177333</v>
      </c>
      <c r="D221">
        <v>0</v>
      </c>
    </row>
    <row r="222" spans="1:4" hidden="1" x14ac:dyDescent="0.25">
      <c r="A222" t="s">
        <v>4</v>
      </c>
      <c r="B222" t="s">
        <v>217</v>
      </c>
      <c r="C222" s="2">
        <f>HYPERLINK("https://sao.dolgi.msk.ru/account/1404176234/", 1404176234)</f>
        <v>1404176234</v>
      </c>
      <c r="D222">
        <v>-7029.88</v>
      </c>
    </row>
    <row r="223" spans="1:4" x14ac:dyDescent="0.25">
      <c r="A223" t="s">
        <v>4</v>
      </c>
      <c r="B223" t="s">
        <v>218</v>
      </c>
      <c r="C223" s="2">
        <f>HYPERLINK("https://sao.dolgi.msk.ru/account/1404176875/", 1404176875)</f>
        <v>1404176875</v>
      </c>
      <c r="D223">
        <v>679.76</v>
      </c>
    </row>
    <row r="224" spans="1:4" hidden="1" x14ac:dyDescent="0.25">
      <c r="A224" t="s">
        <v>4</v>
      </c>
      <c r="B224" t="s">
        <v>219</v>
      </c>
      <c r="C224" s="2">
        <f>HYPERLINK("https://sao.dolgi.msk.ru/account/1404175792/", 1404175792)</f>
        <v>1404175792</v>
      </c>
      <c r="D224">
        <v>0</v>
      </c>
    </row>
    <row r="225" spans="1:4" x14ac:dyDescent="0.25">
      <c r="A225" t="s">
        <v>4</v>
      </c>
      <c r="B225" t="s">
        <v>220</v>
      </c>
      <c r="C225" s="2">
        <f>HYPERLINK("https://sao.dolgi.msk.ru/account/1404174853/", 1404174853)</f>
        <v>1404174853</v>
      </c>
      <c r="D225">
        <v>45137.49</v>
      </c>
    </row>
    <row r="226" spans="1:4" hidden="1" x14ac:dyDescent="0.25">
      <c r="A226" t="s">
        <v>4</v>
      </c>
      <c r="B226" t="s">
        <v>221</v>
      </c>
      <c r="C226" s="2">
        <f>HYPERLINK("https://sao.dolgi.msk.ru/account/1404175805/", 1404175805)</f>
        <v>1404175805</v>
      </c>
      <c r="D226">
        <v>-9425.93</v>
      </c>
    </row>
    <row r="227" spans="1:4" hidden="1" x14ac:dyDescent="0.25">
      <c r="A227" t="s">
        <v>4</v>
      </c>
      <c r="B227" t="s">
        <v>222</v>
      </c>
      <c r="C227" s="2">
        <f>HYPERLINK("https://sao.dolgi.msk.ru/account/1404175258/", 1404175258)</f>
        <v>1404175258</v>
      </c>
      <c r="D227">
        <v>-5973.41</v>
      </c>
    </row>
    <row r="228" spans="1:4" hidden="1" x14ac:dyDescent="0.25">
      <c r="A228" t="s">
        <v>4</v>
      </c>
      <c r="B228" t="s">
        <v>223</v>
      </c>
      <c r="C228" s="2">
        <f>HYPERLINK("https://sao.dolgi.msk.ru/account/1404175266/", 1404175266)</f>
        <v>1404175266</v>
      </c>
      <c r="D228">
        <v>-10118.15</v>
      </c>
    </row>
    <row r="229" spans="1:4" x14ac:dyDescent="0.25">
      <c r="A229" t="s">
        <v>4</v>
      </c>
      <c r="B229" t="s">
        <v>224</v>
      </c>
      <c r="C229" s="2">
        <f>HYPERLINK("https://sao.dolgi.msk.ru/account/1404176883/", 1404176883)</f>
        <v>1404176883</v>
      </c>
      <c r="D229">
        <v>9480.8700000000008</v>
      </c>
    </row>
    <row r="230" spans="1:4" hidden="1" x14ac:dyDescent="0.25">
      <c r="A230" t="s">
        <v>4</v>
      </c>
      <c r="B230" t="s">
        <v>225</v>
      </c>
      <c r="C230" s="2">
        <f>HYPERLINK("https://sao.dolgi.msk.ru/account/1404175522/", 1404175522)</f>
        <v>1404175522</v>
      </c>
      <c r="D230">
        <v>-10894.92</v>
      </c>
    </row>
    <row r="231" spans="1:4" hidden="1" x14ac:dyDescent="0.25">
      <c r="A231" t="s">
        <v>4</v>
      </c>
      <c r="B231" t="s">
        <v>226</v>
      </c>
      <c r="C231" s="2">
        <f>HYPERLINK("https://sao.dolgi.msk.ru/account/1404176568/", 1404176568)</f>
        <v>1404176568</v>
      </c>
      <c r="D231">
        <v>-12078.43</v>
      </c>
    </row>
    <row r="232" spans="1:4" x14ac:dyDescent="0.25">
      <c r="A232" t="s">
        <v>4</v>
      </c>
      <c r="B232" t="s">
        <v>227</v>
      </c>
      <c r="C232" s="2">
        <f>HYPERLINK("https://sao.dolgi.msk.ru/account/1404176576/", 1404176576)</f>
        <v>1404176576</v>
      </c>
      <c r="D232">
        <v>658.38</v>
      </c>
    </row>
    <row r="233" spans="1:4" x14ac:dyDescent="0.25">
      <c r="A233" t="s">
        <v>4</v>
      </c>
      <c r="B233" t="s">
        <v>228</v>
      </c>
      <c r="C233" s="2">
        <f>HYPERLINK("https://sao.dolgi.msk.ru/account/1404175549/", 1404175549)</f>
        <v>1404175549</v>
      </c>
      <c r="D233">
        <v>1662.21</v>
      </c>
    </row>
    <row r="234" spans="1:4" hidden="1" x14ac:dyDescent="0.25">
      <c r="A234" t="s">
        <v>4</v>
      </c>
      <c r="B234" t="s">
        <v>229</v>
      </c>
      <c r="C234" s="2">
        <f>HYPERLINK("https://sao.dolgi.msk.ru/account/1404176293/", 1404176293)</f>
        <v>1404176293</v>
      </c>
      <c r="D234">
        <v>-5867.1</v>
      </c>
    </row>
    <row r="235" spans="1:4" hidden="1" x14ac:dyDescent="0.25">
      <c r="A235" t="s">
        <v>4</v>
      </c>
      <c r="B235" t="s">
        <v>230</v>
      </c>
      <c r="C235" s="2">
        <f>HYPERLINK("https://sao.dolgi.msk.ru/account/1404174909/", 1404174909)</f>
        <v>1404174909</v>
      </c>
      <c r="D235">
        <v>0</v>
      </c>
    </row>
    <row r="236" spans="1:4" hidden="1" x14ac:dyDescent="0.25">
      <c r="A236" t="s">
        <v>4</v>
      </c>
      <c r="B236" t="s">
        <v>231</v>
      </c>
      <c r="C236" s="2">
        <f>HYPERLINK("https://sao.dolgi.msk.ru/account/1404175864/", 1404175864)</f>
        <v>1404175864</v>
      </c>
      <c r="D236">
        <v>0</v>
      </c>
    </row>
    <row r="237" spans="1:4" x14ac:dyDescent="0.25">
      <c r="A237" t="s">
        <v>4</v>
      </c>
      <c r="B237" t="s">
        <v>232</v>
      </c>
      <c r="C237" s="2">
        <f>HYPERLINK("https://sao.dolgi.msk.ru/account/1404175629/", 1404175629)</f>
        <v>1404175629</v>
      </c>
      <c r="D237">
        <v>77731.839999999997</v>
      </c>
    </row>
    <row r="238" spans="1:4" hidden="1" x14ac:dyDescent="0.25">
      <c r="A238" t="s">
        <v>4</v>
      </c>
      <c r="B238" t="s">
        <v>233</v>
      </c>
      <c r="C238" s="2">
        <f>HYPERLINK("https://sao.dolgi.msk.ru/account/1404175637/", 1404175637)</f>
        <v>1404175637</v>
      </c>
      <c r="D238">
        <v>0</v>
      </c>
    </row>
    <row r="239" spans="1:4" hidden="1" x14ac:dyDescent="0.25">
      <c r="A239" t="s">
        <v>4</v>
      </c>
      <c r="B239" t="s">
        <v>234</v>
      </c>
      <c r="C239" s="2">
        <f>HYPERLINK("https://sao.dolgi.msk.ru/account/1404174917/", 1404174917)</f>
        <v>1404174917</v>
      </c>
      <c r="D239">
        <v>-12900.03</v>
      </c>
    </row>
    <row r="240" spans="1:4" x14ac:dyDescent="0.25">
      <c r="A240" t="s">
        <v>4</v>
      </c>
      <c r="B240" t="s">
        <v>235</v>
      </c>
      <c r="C240" s="2">
        <f>HYPERLINK("https://sao.dolgi.msk.ru/account/1404176728/", 1404176728)</f>
        <v>1404176728</v>
      </c>
      <c r="D240">
        <v>17486.349999999999</v>
      </c>
    </row>
    <row r="241" spans="1:4" hidden="1" x14ac:dyDescent="0.25">
      <c r="A241" t="s">
        <v>236</v>
      </c>
      <c r="B241" t="s">
        <v>5</v>
      </c>
      <c r="C241" s="2">
        <f>HYPERLINK("https://sao.dolgi.msk.ru/account/1404178475/", 1404178475)</f>
        <v>1404178475</v>
      </c>
      <c r="D241">
        <v>-2901.6</v>
      </c>
    </row>
    <row r="242" spans="1:4" hidden="1" x14ac:dyDescent="0.25">
      <c r="A242" t="s">
        <v>236</v>
      </c>
      <c r="B242" t="s">
        <v>6</v>
      </c>
      <c r="C242" s="2">
        <f>HYPERLINK("https://sao.dolgi.msk.ru/account/1404177894/", 1404177894)</f>
        <v>1404177894</v>
      </c>
      <c r="D242">
        <v>-8694.35</v>
      </c>
    </row>
    <row r="243" spans="1:4" hidden="1" x14ac:dyDescent="0.25">
      <c r="A243" t="s">
        <v>236</v>
      </c>
      <c r="B243" t="s">
        <v>7</v>
      </c>
      <c r="C243" s="2">
        <f>HYPERLINK("https://sao.dolgi.msk.ru/account/1404177624/", 1404177624)</f>
        <v>1404177624</v>
      </c>
      <c r="D243">
        <v>-6065.41</v>
      </c>
    </row>
    <row r="244" spans="1:4" hidden="1" x14ac:dyDescent="0.25">
      <c r="A244" t="s">
        <v>236</v>
      </c>
      <c r="B244" t="s">
        <v>8</v>
      </c>
      <c r="C244" s="2">
        <f>HYPERLINK("https://sao.dolgi.msk.ru/account/1404178002/", 1404178002)</f>
        <v>1404178002</v>
      </c>
      <c r="D244">
        <v>0</v>
      </c>
    </row>
    <row r="245" spans="1:4" x14ac:dyDescent="0.25">
      <c r="A245" t="s">
        <v>236</v>
      </c>
      <c r="B245" t="s">
        <v>9</v>
      </c>
      <c r="C245" s="2">
        <f>HYPERLINK("https://sao.dolgi.msk.ru/account/1404178299/", 1404178299)</f>
        <v>1404178299</v>
      </c>
      <c r="D245">
        <v>31630.639999999999</v>
      </c>
    </row>
    <row r="246" spans="1:4" x14ac:dyDescent="0.25">
      <c r="A246" t="s">
        <v>236</v>
      </c>
      <c r="B246" t="s">
        <v>10</v>
      </c>
      <c r="C246" s="2">
        <f>HYPERLINK("https://sao.dolgi.msk.ru/account/1404178029/", 1404178029)</f>
        <v>1404178029</v>
      </c>
      <c r="D246">
        <v>849.75</v>
      </c>
    </row>
    <row r="247" spans="1:4" x14ac:dyDescent="0.25">
      <c r="A247" t="s">
        <v>236</v>
      </c>
      <c r="B247" t="s">
        <v>11</v>
      </c>
      <c r="C247" s="2">
        <f>HYPERLINK("https://sao.dolgi.msk.ru/account/1404178379/", 1404178379)</f>
        <v>1404178379</v>
      </c>
      <c r="D247">
        <v>134.93</v>
      </c>
    </row>
    <row r="248" spans="1:4" hidden="1" x14ac:dyDescent="0.25">
      <c r="A248" t="s">
        <v>236</v>
      </c>
      <c r="B248" t="s">
        <v>12</v>
      </c>
      <c r="C248" s="2">
        <f>HYPERLINK("https://sao.dolgi.msk.ru/account/1404177982/", 1404177982)</f>
        <v>1404177982</v>
      </c>
      <c r="D248">
        <v>-1108.74</v>
      </c>
    </row>
    <row r="249" spans="1:4" hidden="1" x14ac:dyDescent="0.25">
      <c r="A249" t="s">
        <v>236</v>
      </c>
      <c r="B249" t="s">
        <v>13</v>
      </c>
      <c r="C249" s="2">
        <f>HYPERLINK("https://sao.dolgi.msk.ru/account/1404178096/", 1404178096)</f>
        <v>1404178096</v>
      </c>
      <c r="D249">
        <v>-7841.74</v>
      </c>
    </row>
    <row r="250" spans="1:4" x14ac:dyDescent="0.25">
      <c r="A250" t="s">
        <v>236</v>
      </c>
      <c r="B250" t="s">
        <v>14</v>
      </c>
      <c r="C250" s="2">
        <f>HYPERLINK("https://sao.dolgi.msk.ru/account/1404178352/", 1404178352)</f>
        <v>1404178352</v>
      </c>
      <c r="D250">
        <v>15942.84</v>
      </c>
    </row>
    <row r="251" spans="1:4" hidden="1" x14ac:dyDescent="0.25">
      <c r="A251" t="s">
        <v>236</v>
      </c>
      <c r="B251" t="s">
        <v>15</v>
      </c>
      <c r="C251" s="2">
        <f>HYPERLINK("https://sao.dolgi.msk.ru/account/1404177886/", 1404177886)</f>
        <v>1404177886</v>
      </c>
      <c r="D251">
        <v>-5468.29</v>
      </c>
    </row>
    <row r="252" spans="1:4" hidden="1" x14ac:dyDescent="0.25">
      <c r="A252" t="s">
        <v>236</v>
      </c>
      <c r="B252" t="s">
        <v>16</v>
      </c>
      <c r="C252" s="2">
        <f>HYPERLINK("https://sao.dolgi.msk.ru/account/1404177712/", 1404177712)</f>
        <v>1404177712</v>
      </c>
      <c r="D252">
        <v>-2550.48</v>
      </c>
    </row>
    <row r="253" spans="1:4" hidden="1" x14ac:dyDescent="0.25">
      <c r="A253" t="s">
        <v>236</v>
      </c>
      <c r="B253" t="s">
        <v>17</v>
      </c>
      <c r="C253" s="2">
        <f>HYPERLINK("https://sao.dolgi.msk.ru/account/1404177632/", 1404177632)</f>
        <v>1404177632</v>
      </c>
      <c r="D253">
        <v>-5583.54</v>
      </c>
    </row>
    <row r="254" spans="1:4" hidden="1" x14ac:dyDescent="0.25">
      <c r="A254" t="s">
        <v>236</v>
      </c>
      <c r="B254" t="s">
        <v>17</v>
      </c>
      <c r="C254" s="2">
        <f>HYPERLINK("https://sao.dolgi.msk.ru/account/1404178635/", 1404178635)</f>
        <v>1404178635</v>
      </c>
      <c r="D254">
        <v>-3083.21</v>
      </c>
    </row>
    <row r="255" spans="1:4" hidden="1" x14ac:dyDescent="0.25">
      <c r="A255" t="s">
        <v>236</v>
      </c>
      <c r="B255" t="s">
        <v>18</v>
      </c>
      <c r="C255" s="2">
        <f>HYPERLINK("https://sao.dolgi.msk.ru/account/1404177739/", 1404177739)</f>
        <v>1404177739</v>
      </c>
      <c r="D255">
        <v>-2819.73</v>
      </c>
    </row>
    <row r="256" spans="1:4" hidden="1" x14ac:dyDescent="0.25">
      <c r="A256" t="s">
        <v>236</v>
      </c>
      <c r="B256" t="s">
        <v>19</v>
      </c>
      <c r="C256" s="2">
        <f>HYPERLINK("https://sao.dolgi.msk.ru/account/1404177747/", 1404177747)</f>
        <v>1404177747</v>
      </c>
      <c r="D256">
        <v>0</v>
      </c>
    </row>
    <row r="257" spans="1:4" hidden="1" x14ac:dyDescent="0.25">
      <c r="A257" t="s">
        <v>236</v>
      </c>
      <c r="B257" t="s">
        <v>20</v>
      </c>
      <c r="C257" s="2">
        <f>HYPERLINK("https://sao.dolgi.msk.ru/account/1404178344/", 1404178344)</f>
        <v>1404178344</v>
      </c>
      <c r="D257">
        <v>-11801.27</v>
      </c>
    </row>
    <row r="258" spans="1:4" hidden="1" x14ac:dyDescent="0.25">
      <c r="A258" t="s">
        <v>236</v>
      </c>
      <c r="B258" t="s">
        <v>21</v>
      </c>
      <c r="C258" s="2">
        <f>HYPERLINK("https://sao.dolgi.msk.ru/account/1404177587/", 1404177587)</f>
        <v>1404177587</v>
      </c>
      <c r="D258">
        <v>-5563.32</v>
      </c>
    </row>
    <row r="259" spans="1:4" hidden="1" x14ac:dyDescent="0.25">
      <c r="A259" t="s">
        <v>236</v>
      </c>
      <c r="B259" t="s">
        <v>22</v>
      </c>
      <c r="C259" s="2">
        <f>HYPERLINK("https://sao.dolgi.msk.ru/account/1404177595/", 1404177595)</f>
        <v>1404177595</v>
      </c>
      <c r="D259">
        <v>-5072.6400000000003</v>
      </c>
    </row>
    <row r="260" spans="1:4" hidden="1" x14ac:dyDescent="0.25">
      <c r="A260" t="s">
        <v>236</v>
      </c>
      <c r="B260" t="s">
        <v>23</v>
      </c>
      <c r="C260" s="2">
        <f>HYPERLINK("https://sao.dolgi.msk.ru/account/1404177608/", 1404177608)</f>
        <v>1404177608</v>
      </c>
      <c r="D260">
        <v>-4415.03</v>
      </c>
    </row>
    <row r="261" spans="1:4" x14ac:dyDescent="0.25">
      <c r="A261" t="s">
        <v>236</v>
      </c>
      <c r="B261" t="s">
        <v>24</v>
      </c>
      <c r="C261" s="2">
        <f>HYPERLINK("https://sao.dolgi.msk.ru/account/1404177907/", 1404177907)</f>
        <v>1404177907</v>
      </c>
      <c r="D261">
        <v>19723.400000000001</v>
      </c>
    </row>
    <row r="262" spans="1:4" hidden="1" x14ac:dyDescent="0.25">
      <c r="A262" t="s">
        <v>236</v>
      </c>
      <c r="B262" t="s">
        <v>25</v>
      </c>
      <c r="C262" s="2">
        <f>HYPERLINK("https://sao.dolgi.msk.ru/account/1404178045/", 1404178045)</f>
        <v>1404178045</v>
      </c>
      <c r="D262">
        <v>0</v>
      </c>
    </row>
    <row r="263" spans="1:4" hidden="1" x14ac:dyDescent="0.25">
      <c r="A263" t="s">
        <v>236</v>
      </c>
      <c r="B263" t="s">
        <v>26</v>
      </c>
      <c r="C263" s="2">
        <f>HYPERLINK("https://sao.dolgi.msk.ru/account/1404178643/", 1404178643)</f>
        <v>1404178643</v>
      </c>
      <c r="D263">
        <v>-4463.79</v>
      </c>
    </row>
    <row r="264" spans="1:4" hidden="1" x14ac:dyDescent="0.25">
      <c r="A264" t="s">
        <v>236</v>
      </c>
      <c r="B264" t="s">
        <v>27</v>
      </c>
      <c r="C264" s="2">
        <f>HYPERLINK("https://sao.dolgi.msk.ru/account/1404177755/", 1404177755)</f>
        <v>1404177755</v>
      </c>
      <c r="D264">
        <v>-10062.52</v>
      </c>
    </row>
    <row r="265" spans="1:4" hidden="1" x14ac:dyDescent="0.25">
      <c r="A265" t="s">
        <v>236</v>
      </c>
      <c r="B265" t="s">
        <v>28</v>
      </c>
      <c r="C265" s="2">
        <f>HYPERLINK("https://sao.dolgi.msk.ru/account/1404177616/", 1404177616)</f>
        <v>1404177616</v>
      </c>
      <c r="D265">
        <v>0</v>
      </c>
    </row>
    <row r="266" spans="1:4" hidden="1" x14ac:dyDescent="0.25">
      <c r="A266" t="s">
        <v>236</v>
      </c>
      <c r="B266" t="s">
        <v>29</v>
      </c>
      <c r="C266" s="2">
        <f>HYPERLINK("https://sao.dolgi.msk.ru/account/1404178459/", 1404178459)</f>
        <v>1404178459</v>
      </c>
      <c r="D266">
        <v>-3238.04</v>
      </c>
    </row>
    <row r="267" spans="1:4" x14ac:dyDescent="0.25">
      <c r="A267" t="s">
        <v>236</v>
      </c>
      <c r="B267" t="s">
        <v>30</v>
      </c>
      <c r="C267" s="2">
        <f>HYPERLINK("https://sao.dolgi.msk.ru/account/1404177763/", 1404177763)</f>
        <v>1404177763</v>
      </c>
      <c r="D267">
        <v>5411.94</v>
      </c>
    </row>
    <row r="268" spans="1:4" hidden="1" x14ac:dyDescent="0.25">
      <c r="A268" t="s">
        <v>236</v>
      </c>
      <c r="B268" t="s">
        <v>31</v>
      </c>
      <c r="C268" s="2">
        <f>HYPERLINK("https://sao.dolgi.msk.ru/account/1404178141/", 1404178141)</f>
        <v>1404178141</v>
      </c>
      <c r="D268">
        <v>0</v>
      </c>
    </row>
    <row r="269" spans="1:4" hidden="1" x14ac:dyDescent="0.25">
      <c r="A269" t="s">
        <v>236</v>
      </c>
      <c r="B269" t="s">
        <v>32</v>
      </c>
      <c r="C269" s="2">
        <f>HYPERLINK("https://sao.dolgi.msk.ru/account/1404177915/", 1404177915)</f>
        <v>1404177915</v>
      </c>
      <c r="D269">
        <v>-4462.4399999999996</v>
      </c>
    </row>
    <row r="270" spans="1:4" hidden="1" x14ac:dyDescent="0.25">
      <c r="A270" t="s">
        <v>236</v>
      </c>
      <c r="B270" t="s">
        <v>33</v>
      </c>
      <c r="C270" s="2">
        <f>HYPERLINK("https://sao.dolgi.msk.ru/account/1404178168/", 1404178168)</f>
        <v>1404178168</v>
      </c>
      <c r="D270">
        <v>0</v>
      </c>
    </row>
    <row r="271" spans="1:4" x14ac:dyDescent="0.25">
      <c r="A271" t="s">
        <v>236</v>
      </c>
      <c r="B271" t="s">
        <v>34</v>
      </c>
      <c r="C271" s="2">
        <f>HYPERLINK("https://sao.dolgi.msk.ru/account/1404178176/", 1404178176)</f>
        <v>1404178176</v>
      </c>
      <c r="D271">
        <v>4197.05</v>
      </c>
    </row>
    <row r="272" spans="1:4" hidden="1" x14ac:dyDescent="0.25">
      <c r="A272" t="s">
        <v>236</v>
      </c>
      <c r="B272" t="s">
        <v>35</v>
      </c>
      <c r="C272" s="2">
        <f>HYPERLINK("https://sao.dolgi.msk.ru/account/1404177923/", 1404177923)</f>
        <v>1404177923</v>
      </c>
      <c r="D272">
        <v>0</v>
      </c>
    </row>
    <row r="273" spans="1:4" hidden="1" x14ac:dyDescent="0.25">
      <c r="A273" t="s">
        <v>236</v>
      </c>
      <c r="B273" t="s">
        <v>36</v>
      </c>
      <c r="C273" s="2">
        <f>HYPERLINK("https://sao.dolgi.msk.ru/account/1404178053/", 1404178053)</f>
        <v>1404178053</v>
      </c>
      <c r="D273">
        <v>-6762.05</v>
      </c>
    </row>
    <row r="274" spans="1:4" x14ac:dyDescent="0.25">
      <c r="A274" t="s">
        <v>236</v>
      </c>
      <c r="B274" t="s">
        <v>37</v>
      </c>
      <c r="C274" s="2">
        <f>HYPERLINK("https://sao.dolgi.msk.ru/account/1404178467/", 1404178467)</f>
        <v>1404178467</v>
      </c>
      <c r="D274">
        <v>18936.97</v>
      </c>
    </row>
    <row r="275" spans="1:4" hidden="1" x14ac:dyDescent="0.25">
      <c r="A275" t="s">
        <v>236</v>
      </c>
      <c r="B275" t="s">
        <v>38</v>
      </c>
      <c r="C275" s="2">
        <f>HYPERLINK("https://sao.dolgi.msk.ru/account/1404178184/", 1404178184)</f>
        <v>1404178184</v>
      </c>
      <c r="D275">
        <v>0</v>
      </c>
    </row>
    <row r="276" spans="1:4" hidden="1" x14ac:dyDescent="0.25">
      <c r="A276" t="s">
        <v>236</v>
      </c>
      <c r="B276" t="s">
        <v>39</v>
      </c>
      <c r="C276" s="2">
        <f>HYPERLINK("https://sao.dolgi.msk.ru/account/1404178651/", 1404178651)</f>
        <v>1404178651</v>
      </c>
      <c r="D276">
        <v>-3925.1</v>
      </c>
    </row>
    <row r="277" spans="1:4" hidden="1" x14ac:dyDescent="0.25">
      <c r="A277" t="s">
        <v>236</v>
      </c>
      <c r="B277" t="s">
        <v>40</v>
      </c>
      <c r="C277" s="2">
        <f>HYPERLINK("https://sao.dolgi.msk.ru/account/1404178192/", 1404178192)</f>
        <v>1404178192</v>
      </c>
      <c r="D277">
        <v>-3674.08</v>
      </c>
    </row>
    <row r="278" spans="1:4" hidden="1" x14ac:dyDescent="0.25">
      <c r="A278" t="s">
        <v>236</v>
      </c>
      <c r="B278" t="s">
        <v>41</v>
      </c>
      <c r="C278" s="2">
        <f>HYPERLINK("https://sao.dolgi.msk.ru/account/1404178707/", 1404178707)</f>
        <v>1404178707</v>
      </c>
      <c r="D278">
        <v>-6886.18</v>
      </c>
    </row>
    <row r="279" spans="1:4" x14ac:dyDescent="0.25">
      <c r="A279" t="s">
        <v>236</v>
      </c>
      <c r="B279" t="s">
        <v>42</v>
      </c>
      <c r="C279" s="2">
        <f>HYPERLINK("https://sao.dolgi.msk.ru/account/1404178395/", 1404178395)</f>
        <v>1404178395</v>
      </c>
      <c r="D279">
        <v>6021.03</v>
      </c>
    </row>
    <row r="280" spans="1:4" hidden="1" x14ac:dyDescent="0.25">
      <c r="A280" t="s">
        <v>236</v>
      </c>
      <c r="B280" t="s">
        <v>43</v>
      </c>
      <c r="C280" s="2">
        <f>HYPERLINK("https://sao.dolgi.msk.ru/account/1404178408/", 1404178408)</f>
        <v>1404178408</v>
      </c>
      <c r="D280">
        <v>-4942.63</v>
      </c>
    </row>
    <row r="281" spans="1:4" hidden="1" x14ac:dyDescent="0.25">
      <c r="A281" t="s">
        <v>236</v>
      </c>
      <c r="B281" t="s">
        <v>44</v>
      </c>
      <c r="C281" s="2">
        <f>HYPERLINK("https://sao.dolgi.msk.ru/account/1404178416/", 1404178416)</f>
        <v>1404178416</v>
      </c>
      <c r="D281">
        <v>0</v>
      </c>
    </row>
    <row r="282" spans="1:4" x14ac:dyDescent="0.25">
      <c r="A282" t="s">
        <v>236</v>
      </c>
      <c r="B282" t="s">
        <v>45</v>
      </c>
      <c r="C282" s="2">
        <f>HYPERLINK("https://sao.dolgi.msk.ru/account/1404177659/", 1404177659)</f>
        <v>1404177659</v>
      </c>
      <c r="D282">
        <v>14307.26</v>
      </c>
    </row>
    <row r="283" spans="1:4" hidden="1" x14ac:dyDescent="0.25">
      <c r="A283" t="s">
        <v>236</v>
      </c>
      <c r="B283" t="s">
        <v>46</v>
      </c>
      <c r="C283" s="2">
        <f>HYPERLINK("https://sao.dolgi.msk.ru/account/1404177667/", 1404177667)</f>
        <v>1404177667</v>
      </c>
      <c r="D283">
        <v>0</v>
      </c>
    </row>
    <row r="284" spans="1:4" hidden="1" x14ac:dyDescent="0.25">
      <c r="A284" t="s">
        <v>236</v>
      </c>
      <c r="B284" t="s">
        <v>47</v>
      </c>
      <c r="C284" s="2">
        <f>HYPERLINK("https://sao.dolgi.msk.ru/account/1404178715/", 1404178715)</f>
        <v>1404178715</v>
      </c>
      <c r="D284">
        <v>0</v>
      </c>
    </row>
    <row r="285" spans="1:4" hidden="1" x14ac:dyDescent="0.25">
      <c r="A285" t="s">
        <v>236</v>
      </c>
      <c r="B285" t="s">
        <v>48</v>
      </c>
      <c r="C285" s="2">
        <f>HYPERLINK("https://sao.dolgi.msk.ru/account/1404178256/", 1404178256)</f>
        <v>1404178256</v>
      </c>
      <c r="D285">
        <v>-2182.7800000000002</v>
      </c>
    </row>
    <row r="286" spans="1:4" hidden="1" x14ac:dyDescent="0.25">
      <c r="A286" t="s">
        <v>236</v>
      </c>
      <c r="B286" t="s">
        <v>48</v>
      </c>
      <c r="C286" s="2">
        <f>HYPERLINK("https://sao.dolgi.msk.ru/account/1404178424/", 1404178424)</f>
        <v>1404178424</v>
      </c>
      <c r="D286">
        <v>-5197.4399999999996</v>
      </c>
    </row>
    <row r="287" spans="1:4" hidden="1" x14ac:dyDescent="0.25">
      <c r="A287" t="s">
        <v>236</v>
      </c>
      <c r="B287" t="s">
        <v>49</v>
      </c>
      <c r="C287" s="2">
        <f>HYPERLINK("https://sao.dolgi.msk.ru/account/1404178512/", 1404178512)</f>
        <v>1404178512</v>
      </c>
      <c r="D287">
        <v>0</v>
      </c>
    </row>
    <row r="288" spans="1:4" hidden="1" x14ac:dyDescent="0.25">
      <c r="A288" t="s">
        <v>236</v>
      </c>
      <c r="B288" t="s">
        <v>50</v>
      </c>
      <c r="C288" s="2">
        <f>HYPERLINK("https://sao.dolgi.msk.ru/account/1404178264/", 1404178264)</f>
        <v>1404178264</v>
      </c>
      <c r="D288">
        <v>-3387.37</v>
      </c>
    </row>
    <row r="289" spans="1:4" hidden="1" x14ac:dyDescent="0.25">
      <c r="A289" t="s">
        <v>236</v>
      </c>
      <c r="B289" t="s">
        <v>51</v>
      </c>
      <c r="C289" s="2">
        <f>HYPERLINK("https://sao.dolgi.msk.ru/account/1404177835/", 1404177835)</f>
        <v>1404177835</v>
      </c>
      <c r="D289">
        <v>-3026.64</v>
      </c>
    </row>
    <row r="290" spans="1:4" hidden="1" x14ac:dyDescent="0.25">
      <c r="A290" t="s">
        <v>236</v>
      </c>
      <c r="B290" t="s">
        <v>52</v>
      </c>
      <c r="C290" s="2">
        <f>HYPERLINK("https://sao.dolgi.msk.ru/account/1404178723/", 1404178723)</f>
        <v>1404178723</v>
      </c>
      <c r="D290">
        <v>-3459.52</v>
      </c>
    </row>
    <row r="291" spans="1:4" x14ac:dyDescent="0.25">
      <c r="A291" t="s">
        <v>236</v>
      </c>
      <c r="B291" t="s">
        <v>53</v>
      </c>
      <c r="C291" s="2">
        <f>HYPERLINK("https://sao.dolgi.msk.ru/account/1404178272/", 1404178272)</f>
        <v>1404178272</v>
      </c>
      <c r="D291">
        <v>835.92</v>
      </c>
    </row>
    <row r="292" spans="1:4" hidden="1" x14ac:dyDescent="0.25">
      <c r="A292" t="s">
        <v>236</v>
      </c>
      <c r="B292" t="s">
        <v>54</v>
      </c>
      <c r="C292" s="2">
        <f>HYPERLINK("https://sao.dolgi.msk.ru/account/1404178539/", 1404178539)</f>
        <v>1404178539</v>
      </c>
      <c r="D292">
        <v>-6420.28</v>
      </c>
    </row>
    <row r="293" spans="1:4" hidden="1" x14ac:dyDescent="0.25">
      <c r="A293" t="s">
        <v>236</v>
      </c>
      <c r="B293" t="s">
        <v>55</v>
      </c>
      <c r="C293" s="2">
        <f>HYPERLINK("https://sao.dolgi.msk.ru/account/1404177843/", 1404177843)</f>
        <v>1404177843</v>
      </c>
      <c r="D293">
        <v>-6402.58</v>
      </c>
    </row>
    <row r="294" spans="1:4" hidden="1" x14ac:dyDescent="0.25">
      <c r="A294" t="s">
        <v>236</v>
      </c>
      <c r="B294" t="s">
        <v>56</v>
      </c>
      <c r="C294" s="2">
        <f>HYPERLINK("https://sao.dolgi.msk.ru/account/1404178301/", 1404178301)</f>
        <v>1404178301</v>
      </c>
      <c r="D294">
        <v>-4138</v>
      </c>
    </row>
    <row r="295" spans="1:4" x14ac:dyDescent="0.25">
      <c r="A295" t="s">
        <v>236</v>
      </c>
      <c r="B295" t="s">
        <v>57</v>
      </c>
      <c r="C295" s="2">
        <f>HYPERLINK("https://sao.dolgi.msk.ru/account/1404178731/", 1404178731)</f>
        <v>1404178731</v>
      </c>
      <c r="D295">
        <v>27743.1</v>
      </c>
    </row>
    <row r="296" spans="1:4" hidden="1" x14ac:dyDescent="0.25">
      <c r="A296" t="s">
        <v>236</v>
      </c>
      <c r="B296" t="s">
        <v>58</v>
      </c>
      <c r="C296" s="2">
        <f>HYPERLINK("https://sao.dolgi.msk.ru/account/1404177675/", 1404177675)</f>
        <v>1404177675</v>
      </c>
      <c r="D296">
        <v>-4672.5200000000004</v>
      </c>
    </row>
    <row r="297" spans="1:4" hidden="1" x14ac:dyDescent="0.25">
      <c r="A297" t="s">
        <v>236</v>
      </c>
      <c r="B297" t="s">
        <v>59</v>
      </c>
      <c r="C297" s="2">
        <f>HYPERLINK("https://sao.dolgi.msk.ru/account/1404177704/", 1404177704)</f>
        <v>1404177704</v>
      </c>
      <c r="D297">
        <v>-4240.8999999999996</v>
      </c>
    </row>
    <row r="298" spans="1:4" hidden="1" x14ac:dyDescent="0.25">
      <c r="A298" t="s">
        <v>236</v>
      </c>
      <c r="B298" t="s">
        <v>60</v>
      </c>
      <c r="C298" s="2">
        <f>HYPERLINK("https://sao.dolgi.msk.ru/account/1404177851/", 1404177851)</f>
        <v>1404177851</v>
      </c>
      <c r="D298">
        <v>-4615.7700000000004</v>
      </c>
    </row>
    <row r="299" spans="1:4" hidden="1" x14ac:dyDescent="0.25">
      <c r="A299" t="s">
        <v>236</v>
      </c>
      <c r="B299" t="s">
        <v>61</v>
      </c>
      <c r="C299" s="2">
        <f>HYPERLINK("https://sao.dolgi.msk.ru/account/1404178336/", 1404178336)</f>
        <v>1404178336</v>
      </c>
      <c r="D299">
        <v>-4517.72</v>
      </c>
    </row>
    <row r="300" spans="1:4" hidden="1" x14ac:dyDescent="0.25">
      <c r="A300" t="s">
        <v>236</v>
      </c>
      <c r="B300" t="s">
        <v>62</v>
      </c>
      <c r="C300" s="2">
        <f>HYPERLINK("https://sao.dolgi.msk.ru/account/1404177544/", 1404177544)</f>
        <v>1404177544</v>
      </c>
      <c r="D300">
        <v>0</v>
      </c>
    </row>
    <row r="301" spans="1:4" hidden="1" x14ac:dyDescent="0.25">
      <c r="A301" t="s">
        <v>236</v>
      </c>
      <c r="B301" t="s">
        <v>63</v>
      </c>
      <c r="C301" s="2">
        <f>HYPERLINK("https://sao.dolgi.msk.ru/account/1404177552/", 1404177552)</f>
        <v>1404177552</v>
      </c>
      <c r="D301">
        <v>-3799.29</v>
      </c>
    </row>
    <row r="302" spans="1:4" x14ac:dyDescent="0.25">
      <c r="A302" t="s">
        <v>236</v>
      </c>
      <c r="B302" t="s">
        <v>64</v>
      </c>
      <c r="C302" s="2">
        <f>HYPERLINK("https://sao.dolgi.msk.ru/account/1404178432/", 1404178432)</f>
        <v>1404178432</v>
      </c>
      <c r="D302">
        <v>9109.3799999999992</v>
      </c>
    </row>
    <row r="303" spans="1:4" hidden="1" x14ac:dyDescent="0.25">
      <c r="A303" t="s">
        <v>236</v>
      </c>
      <c r="B303" t="s">
        <v>65</v>
      </c>
      <c r="C303" s="2">
        <f>HYPERLINK("https://sao.dolgi.msk.ru/account/1404178133/", 1404178133)</f>
        <v>1404178133</v>
      </c>
      <c r="D303">
        <v>-4896.5</v>
      </c>
    </row>
    <row r="304" spans="1:4" hidden="1" x14ac:dyDescent="0.25">
      <c r="A304" t="s">
        <v>236</v>
      </c>
      <c r="B304" t="s">
        <v>66</v>
      </c>
      <c r="C304" s="2">
        <f>HYPERLINK("https://sao.dolgi.msk.ru/account/1404178037/", 1404178037)</f>
        <v>1404178037</v>
      </c>
      <c r="D304">
        <v>-4288.38</v>
      </c>
    </row>
    <row r="305" spans="1:4" hidden="1" x14ac:dyDescent="0.25">
      <c r="A305" t="s">
        <v>236</v>
      </c>
      <c r="B305" t="s">
        <v>67</v>
      </c>
      <c r="C305" s="2">
        <f>HYPERLINK("https://sao.dolgi.msk.ru/account/1404177878/", 1404177878)</f>
        <v>1404177878</v>
      </c>
      <c r="D305">
        <v>-5221.66</v>
      </c>
    </row>
    <row r="306" spans="1:4" hidden="1" x14ac:dyDescent="0.25">
      <c r="A306" t="s">
        <v>236</v>
      </c>
      <c r="B306" t="s">
        <v>68</v>
      </c>
      <c r="C306" s="2">
        <f>HYPERLINK("https://sao.dolgi.msk.ru/account/1404177579/", 1404177579)</f>
        <v>1404177579</v>
      </c>
      <c r="D306">
        <v>-317.43</v>
      </c>
    </row>
    <row r="307" spans="1:4" hidden="1" x14ac:dyDescent="0.25">
      <c r="A307" t="s">
        <v>236</v>
      </c>
      <c r="B307" t="s">
        <v>69</v>
      </c>
      <c r="C307" s="2">
        <f>HYPERLINK("https://sao.dolgi.msk.ru/account/1404177931/", 1404177931)</f>
        <v>1404177931</v>
      </c>
      <c r="D307">
        <v>0</v>
      </c>
    </row>
    <row r="308" spans="1:4" x14ac:dyDescent="0.25">
      <c r="A308" t="s">
        <v>236</v>
      </c>
      <c r="B308" t="s">
        <v>70</v>
      </c>
      <c r="C308" s="2">
        <f>HYPERLINK("https://sao.dolgi.msk.ru/account/1404177958/", 1404177958)</f>
        <v>1404177958</v>
      </c>
      <c r="D308">
        <v>2036.71</v>
      </c>
    </row>
    <row r="309" spans="1:4" x14ac:dyDescent="0.25">
      <c r="A309" t="s">
        <v>236</v>
      </c>
      <c r="B309" t="s">
        <v>71</v>
      </c>
      <c r="C309" s="2">
        <f>HYPERLINK("https://sao.dolgi.msk.ru/account/1404177966/", 1404177966)</f>
        <v>1404177966</v>
      </c>
      <c r="D309">
        <v>705.75</v>
      </c>
    </row>
    <row r="310" spans="1:4" x14ac:dyDescent="0.25">
      <c r="A310" t="s">
        <v>236</v>
      </c>
      <c r="B310" t="s">
        <v>72</v>
      </c>
      <c r="C310" s="2">
        <f>HYPERLINK("https://sao.dolgi.msk.ru/account/1404178205/", 1404178205)</f>
        <v>1404178205</v>
      </c>
      <c r="D310">
        <v>2680.9</v>
      </c>
    </row>
    <row r="311" spans="1:4" hidden="1" x14ac:dyDescent="0.25">
      <c r="A311" t="s">
        <v>236</v>
      </c>
      <c r="B311" t="s">
        <v>73</v>
      </c>
      <c r="C311" s="2">
        <f>HYPERLINK("https://sao.dolgi.msk.ru/account/1404178061/", 1404178061)</f>
        <v>1404178061</v>
      </c>
      <c r="D311">
        <v>-7203.27</v>
      </c>
    </row>
    <row r="312" spans="1:4" hidden="1" x14ac:dyDescent="0.25">
      <c r="A312" t="s">
        <v>236</v>
      </c>
      <c r="B312" t="s">
        <v>74</v>
      </c>
      <c r="C312" s="2">
        <f>HYPERLINK("https://sao.dolgi.msk.ru/account/1404177771/", 1404177771)</f>
        <v>1404177771</v>
      </c>
      <c r="D312">
        <v>-3785.75</v>
      </c>
    </row>
    <row r="313" spans="1:4" hidden="1" x14ac:dyDescent="0.25">
      <c r="A313" t="s">
        <v>236</v>
      </c>
      <c r="B313" t="s">
        <v>75</v>
      </c>
      <c r="C313" s="2">
        <f>HYPERLINK("https://sao.dolgi.msk.ru/account/1404178213/", 1404178213)</f>
        <v>1404178213</v>
      </c>
      <c r="D313">
        <v>-8181.48</v>
      </c>
    </row>
    <row r="314" spans="1:4" x14ac:dyDescent="0.25">
      <c r="A314" t="s">
        <v>236</v>
      </c>
      <c r="B314" t="s">
        <v>76</v>
      </c>
      <c r="C314" s="2">
        <f>HYPERLINK("https://sao.dolgi.msk.ru/account/1404178483/", 1404178483)</f>
        <v>1404178483</v>
      </c>
      <c r="D314">
        <v>79199.58</v>
      </c>
    </row>
    <row r="315" spans="1:4" x14ac:dyDescent="0.25">
      <c r="A315" t="s">
        <v>236</v>
      </c>
      <c r="B315" t="s">
        <v>77</v>
      </c>
      <c r="C315" s="2">
        <f>HYPERLINK("https://sao.dolgi.msk.ru/account/1404178088/", 1404178088)</f>
        <v>1404178088</v>
      </c>
      <c r="D315">
        <v>31543.759999999998</v>
      </c>
    </row>
    <row r="316" spans="1:4" hidden="1" x14ac:dyDescent="0.25">
      <c r="A316" t="s">
        <v>236</v>
      </c>
      <c r="B316" t="s">
        <v>78</v>
      </c>
      <c r="C316" s="2">
        <f>HYPERLINK("https://sao.dolgi.msk.ru/account/1404178491/", 1404178491)</f>
        <v>1404178491</v>
      </c>
      <c r="D316">
        <v>0</v>
      </c>
    </row>
    <row r="317" spans="1:4" hidden="1" x14ac:dyDescent="0.25">
      <c r="A317" t="s">
        <v>236</v>
      </c>
      <c r="B317" t="s">
        <v>79</v>
      </c>
      <c r="C317" s="2">
        <f>HYPERLINK("https://sao.dolgi.msk.ru/account/1404178387/", 1404178387)</f>
        <v>1404178387</v>
      </c>
      <c r="D317">
        <v>-2594.67</v>
      </c>
    </row>
    <row r="318" spans="1:4" hidden="1" x14ac:dyDescent="0.25">
      <c r="A318" t="s">
        <v>236</v>
      </c>
      <c r="B318" t="s">
        <v>80</v>
      </c>
      <c r="C318" s="2">
        <f>HYPERLINK("https://sao.dolgi.msk.ru/account/1404177974/", 1404177974)</f>
        <v>1404177974</v>
      </c>
      <c r="D318">
        <v>-4389.3900000000003</v>
      </c>
    </row>
    <row r="319" spans="1:4" hidden="1" x14ac:dyDescent="0.25">
      <c r="A319" t="s">
        <v>236</v>
      </c>
      <c r="B319" t="s">
        <v>81</v>
      </c>
      <c r="C319" s="2">
        <f>HYPERLINK("https://sao.dolgi.msk.ru/account/1404177798/", 1404177798)</f>
        <v>1404177798</v>
      </c>
      <c r="D319">
        <v>-5727.75</v>
      </c>
    </row>
    <row r="320" spans="1:4" hidden="1" x14ac:dyDescent="0.25">
      <c r="A320" t="s">
        <v>236</v>
      </c>
      <c r="B320" t="s">
        <v>82</v>
      </c>
      <c r="C320" s="2">
        <f>HYPERLINK("https://sao.dolgi.msk.ru/account/1404177819/", 1404177819)</f>
        <v>1404177819</v>
      </c>
      <c r="D320">
        <v>-4549.74</v>
      </c>
    </row>
    <row r="321" spans="1:4" x14ac:dyDescent="0.25">
      <c r="A321" t="s">
        <v>236</v>
      </c>
      <c r="B321" t="s">
        <v>83</v>
      </c>
      <c r="C321" s="2">
        <f>HYPERLINK("https://sao.dolgi.msk.ru/account/1404177827/", 1404177827)</f>
        <v>1404177827</v>
      </c>
      <c r="D321">
        <v>5767.51</v>
      </c>
    </row>
    <row r="322" spans="1:4" hidden="1" x14ac:dyDescent="0.25">
      <c r="A322" t="s">
        <v>236</v>
      </c>
      <c r="B322" t="s">
        <v>84</v>
      </c>
      <c r="C322" s="2">
        <f>HYPERLINK("https://sao.dolgi.msk.ru/account/1404178221/", 1404178221)</f>
        <v>1404178221</v>
      </c>
      <c r="D322">
        <v>-5603.3</v>
      </c>
    </row>
    <row r="323" spans="1:4" hidden="1" x14ac:dyDescent="0.25">
      <c r="A323" t="s">
        <v>236</v>
      </c>
      <c r="B323" t="s">
        <v>85</v>
      </c>
      <c r="C323" s="2">
        <f>HYPERLINK("https://sao.dolgi.msk.ru/account/1404178678/", 1404178678)</f>
        <v>1404178678</v>
      </c>
      <c r="D323">
        <v>-5841.31</v>
      </c>
    </row>
    <row r="324" spans="1:4" hidden="1" x14ac:dyDescent="0.25">
      <c r="A324" t="s">
        <v>236</v>
      </c>
      <c r="B324" t="s">
        <v>86</v>
      </c>
      <c r="C324" s="2">
        <f>HYPERLINK("https://sao.dolgi.msk.ru/account/1404178686/", 1404178686)</f>
        <v>1404178686</v>
      </c>
      <c r="D324">
        <v>0</v>
      </c>
    </row>
    <row r="325" spans="1:4" hidden="1" x14ac:dyDescent="0.25">
      <c r="A325" t="s">
        <v>236</v>
      </c>
      <c r="B325" t="s">
        <v>87</v>
      </c>
      <c r="C325" s="2">
        <f>HYPERLINK("https://sao.dolgi.msk.ru/account/1404178694/", 1404178694)</f>
        <v>1404178694</v>
      </c>
      <c r="D325">
        <v>-5127.34</v>
      </c>
    </row>
    <row r="326" spans="1:4" hidden="1" x14ac:dyDescent="0.25">
      <c r="A326" t="s">
        <v>236</v>
      </c>
      <c r="B326" t="s">
        <v>88</v>
      </c>
      <c r="C326" s="2">
        <f>HYPERLINK("https://sao.dolgi.msk.ru/account/1404178248/", 1404178248)</f>
        <v>1404178248</v>
      </c>
      <c r="D326">
        <v>-3495.99</v>
      </c>
    </row>
    <row r="327" spans="1:4" hidden="1" x14ac:dyDescent="0.25">
      <c r="A327" t="s">
        <v>236</v>
      </c>
      <c r="B327" t="s">
        <v>89</v>
      </c>
      <c r="C327" s="2">
        <f>HYPERLINK("https://sao.dolgi.msk.ru/account/1404178504/", 1404178504)</f>
        <v>1404178504</v>
      </c>
      <c r="D327">
        <v>0</v>
      </c>
    </row>
    <row r="328" spans="1:4" hidden="1" x14ac:dyDescent="0.25">
      <c r="A328" t="s">
        <v>236</v>
      </c>
      <c r="B328" t="s">
        <v>90</v>
      </c>
      <c r="C328" s="2">
        <f>HYPERLINK("https://sao.dolgi.msk.ru/account/1404178547/", 1404178547)</f>
        <v>1404178547</v>
      </c>
      <c r="D328">
        <v>-8095.56</v>
      </c>
    </row>
    <row r="329" spans="1:4" x14ac:dyDescent="0.25">
      <c r="A329" t="s">
        <v>236</v>
      </c>
      <c r="B329" t="s">
        <v>91</v>
      </c>
      <c r="C329" s="2">
        <f>HYPERLINK("https://sao.dolgi.msk.ru/account/1404178555/", 1404178555)</f>
        <v>1404178555</v>
      </c>
      <c r="D329">
        <v>4755.59</v>
      </c>
    </row>
    <row r="330" spans="1:4" x14ac:dyDescent="0.25">
      <c r="A330" t="s">
        <v>236</v>
      </c>
      <c r="B330" t="s">
        <v>92</v>
      </c>
      <c r="C330" s="2">
        <f>HYPERLINK("https://sao.dolgi.msk.ru/account/1404178563/", 1404178563)</f>
        <v>1404178563</v>
      </c>
      <c r="D330">
        <v>1072.01</v>
      </c>
    </row>
    <row r="331" spans="1:4" x14ac:dyDescent="0.25">
      <c r="A331" t="s">
        <v>236</v>
      </c>
      <c r="B331" t="s">
        <v>93</v>
      </c>
      <c r="C331" s="2">
        <f>HYPERLINK("https://sao.dolgi.msk.ru/account/1404178571/", 1404178571)</f>
        <v>1404178571</v>
      </c>
      <c r="D331">
        <v>11497.66</v>
      </c>
    </row>
    <row r="332" spans="1:4" hidden="1" x14ac:dyDescent="0.25">
      <c r="A332" t="s">
        <v>236</v>
      </c>
      <c r="B332" t="s">
        <v>94</v>
      </c>
      <c r="C332" s="2">
        <f>HYPERLINK("https://sao.dolgi.msk.ru/account/1404178109/", 1404178109)</f>
        <v>1404178109</v>
      </c>
      <c r="D332">
        <v>0</v>
      </c>
    </row>
    <row r="333" spans="1:4" hidden="1" x14ac:dyDescent="0.25">
      <c r="A333" t="s">
        <v>236</v>
      </c>
      <c r="B333" t="s">
        <v>95</v>
      </c>
      <c r="C333" s="2">
        <f>HYPERLINK("https://sao.dolgi.msk.ru/account/1404177683/", 1404177683)</f>
        <v>1404177683</v>
      </c>
      <c r="D333">
        <v>-3913.83</v>
      </c>
    </row>
    <row r="334" spans="1:4" hidden="1" x14ac:dyDescent="0.25">
      <c r="A334" t="s">
        <v>236</v>
      </c>
      <c r="B334" t="s">
        <v>96</v>
      </c>
      <c r="C334" s="2">
        <f>HYPERLINK("https://sao.dolgi.msk.ru/account/1404178598/", 1404178598)</f>
        <v>1404178598</v>
      </c>
      <c r="D334">
        <v>-17.14</v>
      </c>
    </row>
    <row r="335" spans="1:4" hidden="1" x14ac:dyDescent="0.25">
      <c r="A335" t="s">
        <v>236</v>
      </c>
      <c r="B335" t="s">
        <v>97</v>
      </c>
      <c r="C335" s="2">
        <f>HYPERLINK("https://sao.dolgi.msk.ru/account/1404178117/", 1404178117)</f>
        <v>1404178117</v>
      </c>
      <c r="D335">
        <v>-4861.72</v>
      </c>
    </row>
    <row r="336" spans="1:4" hidden="1" x14ac:dyDescent="0.25">
      <c r="A336" t="s">
        <v>236</v>
      </c>
      <c r="B336" t="s">
        <v>98</v>
      </c>
      <c r="C336" s="2">
        <f>HYPERLINK("https://sao.dolgi.msk.ru/account/1404178328/", 1404178328)</f>
        <v>1404178328</v>
      </c>
      <c r="D336">
        <v>0</v>
      </c>
    </row>
    <row r="337" spans="1:4" hidden="1" x14ac:dyDescent="0.25">
      <c r="A337" t="s">
        <v>236</v>
      </c>
      <c r="B337" t="s">
        <v>99</v>
      </c>
      <c r="C337" s="2">
        <f>HYPERLINK("https://sao.dolgi.msk.ru/account/1404178619/", 1404178619)</f>
        <v>1404178619</v>
      </c>
      <c r="D337">
        <v>-3583.32</v>
      </c>
    </row>
    <row r="338" spans="1:4" hidden="1" x14ac:dyDescent="0.25">
      <c r="A338" t="s">
        <v>236</v>
      </c>
      <c r="B338" t="s">
        <v>100</v>
      </c>
      <c r="C338" s="2">
        <f>HYPERLINK("https://sao.dolgi.msk.ru/account/1404177691/", 1404177691)</f>
        <v>1404177691</v>
      </c>
      <c r="D338">
        <v>-2398.2399999999998</v>
      </c>
    </row>
    <row r="339" spans="1:4" hidden="1" x14ac:dyDescent="0.25">
      <c r="A339" t="s">
        <v>236</v>
      </c>
      <c r="B339" t="s">
        <v>101</v>
      </c>
      <c r="C339" s="2">
        <f>HYPERLINK("https://sao.dolgi.msk.ru/account/1404178125/", 1404178125)</f>
        <v>1404178125</v>
      </c>
      <c r="D339">
        <v>0</v>
      </c>
    </row>
    <row r="340" spans="1:4" hidden="1" x14ac:dyDescent="0.25">
      <c r="A340" t="s">
        <v>236</v>
      </c>
      <c r="B340" t="s">
        <v>102</v>
      </c>
      <c r="C340" s="2">
        <f>HYPERLINK("https://sao.dolgi.msk.ru/account/1404178627/", 1404178627)</f>
        <v>1404178627</v>
      </c>
      <c r="D340">
        <v>-3643.71</v>
      </c>
    </row>
    <row r="341" spans="1:4" hidden="1" x14ac:dyDescent="0.25">
      <c r="A341" t="s">
        <v>237</v>
      </c>
      <c r="B341" t="s">
        <v>5</v>
      </c>
      <c r="C341" s="2">
        <f>HYPERLINK("https://sao.dolgi.msk.ru/account/1404101339/", 1404101339)</f>
        <v>1404101339</v>
      </c>
      <c r="D341">
        <v>-5926.57</v>
      </c>
    </row>
    <row r="342" spans="1:4" hidden="1" x14ac:dyDescent="0.25">
      <c r="A342" t="s">
        <v>237</v>
      </c>
      <c r="B342" t="s">
        <v>6</v>
      </c>
      <c r="C342" s="2">
        <f>HYPERLINK("https://sao.dolgi.msk.ru/account/1404102884/", 1404102884)</f>
        <v>1404102884</v>
      </c>
      <c r="D342">
        <v>-4692.59</v>
      </c>
    </row>
    <row r="343" spans="1:4" hidden="1" x14ac:dyDescent="0.25">
      <c r="A343" t="s">
        <v>237</v>
      </c>
      <c r="B343" t="s">
        <v>7</v>
      </c>
      <c r="C343" s="2">
        <f>HYPERLINK("https://sao.dolgi.msk.ru/account/1404103633/", 1404103633)</f>
        <v>1404103633</v>
      </c>
      <c r="D343">
        <v>-5999.53</v>
      </c>
    </row>
    <row r="344" spans="1:4" hidden="1" x14ac:dyDescent="0.25">
      <c r="A344" t="s">
        <v>237</v>
      </c>
      <c r="B344" t="s">
        <v>8</v>
      </c>
      <c r="C344" s="2">
        <f>HYPERLINK("https://sao.dolgi.msk.ru/account/1404101638/", 1404101638)</f>
        <v>1404101638</v>
      </c>
      <c r="D344">
        <v>0</v>
      </c>
    </row>
    <row r="345" spans="1:4" hidden="1" x14ac:dyDescent="0.25">
      <c r="A345" t="s">
        <v>237</v>
      </c>
      <c r="B345" t="s">
        <v>9</v>
      </c>
      <c r="C345" s="2">
        <f>HYPERLINK("https://sao.dolgi.msk.ru/account/1404102307/", 1404102307)</f>
        <v>1404102307</v>
      </c>
      <c r="D345">
        <v>-5939.46</v>
      </c>
    </row>
    <row r="346" spans="1:4" x14ac:dyDescent="0.25">
      <c r="A346" t="s">
        <v>237</v>
      </c>
      <c r="B346" t="s">
        <v>10</v>
      </c>
      <c r="C346" s="2">
        <f>HYPERLINK("https://sao.dolgi.msk.ru/account/1404102315/", 1404102315)</f>
        <v>1404102315</v>
      </c>
      <c r="D346">
        <v>1621.26</v>
      </c>
    </row>
    <row r="347" spans="1:4" hidden="1" x14ac:dyDescent="0.25">
      <c r="A347" t="s">
        <v>237</v>
      </c>
      <c r="B347" t="s">
        <v>11</v>
      </c>
      <c r="C347" s="2">
        <f>HYPERLINK("https://sao.dolgi.msk.ru/account/1404103051/", 1404103051)</f>
        <v>1404103051</v>
      </c>
      <c r="D347">
        <v>-5655.54</v>
      </c>
    </row>
    <row r="348" spans="1:4" x14ac:dyDescent="0.25">
      <c r="A348" t="s">
        <v>237</v>
      </c>
      <c r="B348" t="s">
        <v>12</v>
      </c>
      <c r="C348" s="2">
        <f>HYPERLINK("https://sao.dolgi.msk.ru/account/1404102622/", 1404102622)</f>
        <v>1404102622</v>
      </c>
      <c r="D348">
        <v>14962.13</v>
      </c>
    </row>
    <row r="349" spans="1:4" hidden="1" x14ac:dyDescent="0.25">
      <c r="A349" t="s">
        <v>237</v>
      </c>
      <c r="B349" t="s">
        <v>13</v>
      </c>
      <c r="C349" s="2">
        <f>HYPERLINK("https://sao.dolgi.msk.ru/account/1404103043/", 1404103043)</f>
        <v>1404103043</v>
      </c>
      <c r="D349">
        <v>-4813</v>
      </c>
    </row>
    <row r="350" spans="1:4" hidden="1" x14ac:dyDescent="0.25">
      <c r="A350" t="s">
        <v>237</v>
      </c>
      <c r="B350" t="s">
        <v>14</v>
      </c>
      <c r="C350" s="2">
        <f>HYPERLINK("https://sao.dolgi.msk.ru/account/1404101347/", 1404101347)</f>
        <v>1404101347</v>
      </c>
      <c r="D350">
        <v>-4105.38</v>
      </c>
    </row>
    <row r="351" spans="1:4" hidden="1" x14ac:dyDescent="0.25">
      <c r="A351" t="s">
        <v>237</v>
      </c>
      <c r="B351" t="s">
        <v>15</v>
      </c>
      <c r="C351" s="2">
        <f>HYPERLINK("https://sao.dolgi.msk.ru/account/1404103086/", 1404103086)</f>
        <v>1404103086</v>
      </c>
      <c r="D351">
        <v>-4446.8</v>
      </c>
    </row>
    <row r="352" spans="1:4" hidden="1" x14ac:dyDescent="0.25">
      <c r="A352" t="s">
        <v>237</v>
      </c>
      <c r="B352" t="s">
        <v>16</v>
      </c>
      <c r="C352" s="2">
        <f>HYPERLINK("https://sao.dolgi.msk.ru/account/1404103414/", 1404103414)</f>
        <v>1404103414</v>
      </c>
      <c r="D352">
        <v>-6324.42</v>
      </c>
    </row>
    <row r="353" spans="1:4" hidden="1" x14ac:dyDescent="0.25">
      <c r="A353" t="s">
        <v>237</v>
      </c>
      <c r="B353" t="s">
        <v>17</v>
      </c>
      <c r="C353" s="2">
        <f>HYPERLINK("https://sao.dolgi.msk.ru/account/1404101056/", 1404101056)</f>
        <v>1404101056</v>
      </c>
      <c r="D353">
        <v>-6382.24</v>
      </c>
    </row>
    <row r="354" spans="1:4" x14ac:dyDescent="0.25">
      <c r="A354" t="s">
        <v>237</v>
      </c>
      <c r="B354" t="s">
        <v>18</v>
      </c>
      <c r="C354" s="2">
        <f>HYPERLINK("https://sao.dolgi.msk.ru/account/1404101064/", 1404101064)</f>
        <v>1404101064</v>
      </c>
      <c r="D354">
        <v>60891.07</v>
      </c>
    </row>
    <row r="355" spans="1:4" hidden="1" x14ac:dyDescent="0.25">
      <c r="A355" t="s">
        <v>237</v>
      </c>
      <c r="B355" t="s">
        <v>19</v>
      </c>
      <c r="C355" s="2">
        <f>HYPERLINK("https://sao.dolgi.msk.ru/account/1404101486/", 1404101486)</f>
        <v>1404101486</v>
      </c>
      <c r="D355">
        <v>-3474.68</v>
      </c>
    </row>
    <row r="356" spans="1:4" hidden="1" x14ac:dyDescent="0.25">
      <c r="A356" t="s">
        <v>237</v>
      </c>
      <c r="B356" t="s">
        <v>20</v>
      </c>
      <c r="C356" s="2">
        <f>HYPERLINK("https://sao.dolgi.msk.ru/account/1404103473/", 1404103473)</f>
        <v>1404103473</v>
      </c>
      <c r="D356">
        <v>-7851.65</v>
      </c>
    </row>
    <row r="357" spans="1:4" hidden="1" x14ac:dyDescent="0.25">
      <c r="A357" t="s">
        <v>237</v>
      </c>
      <c r="B357" t="s">
        <v>21</v>
      </c>
      <c r="C357" s="2">
        <f>HYPERLINK("https://sao.dolgi.msk.ru/account/1404103166/", 1404103166)</f>
        <v>1404103166</v>
      </c>
      <c r="D357">
        <v>-4564.1000000000004</v>
      </c>
    </row>
    <row r="358" spans="1:4" hidden="1" x14ac:dyDescent="0.25">
      <c r="A358" t="s">
        <v>237</v>
      </c>
      <c r="B358" t="s">
        <v>22</v>
      </c>
      <c r="C358" s="2">
        <f>HYPERLINK("https://sao.dolgi.msk.ru/account/1404102227/", 1404102227)</f>
        <v>1404102227</v>
      </c>
      <c r="D358">
        <v>-5380.93</v>
      </c>
    </row>
    <row r="359" spans="1:4" hidden="1" x14ac:dyDescent="0.25">
      <c r="A359" t="s">
        <v>237</v>
      </c>
      <c r="B359" t="s">
        <v>23</v>
      </c>
      <c r="C359" s="2">
        <f>HYPERLINK("https://sao.dolgi.msk.ru/account/1404102251/", 1404102251)</f>
        <v>1404102251</v>
      </c>
      <c r="D359">
        <v>-4603.8500000000004</v>
      </c>
    </row>
    <row r="360" spans="1:4" hidden="1" x14ac:dyDescent="0.25">
      <c r="A360" t="s">
        <v>237</v>
      </c>
      <c r="B360" t="s">
        <v>24</v>
      </c>
      <c r="C360" s="2">
        <f>HYPERLINK("https://sao.dolgi.msk.ru/account/1404102526/", 1404102526)</f>
        <v>1404102526</v>
      </c>
      <c r="D360">
        <v>0</v>
      </c>
    </row>
    <row r="361" spans="1:4" hidden="1" x14ac:dyDescent="0.25">
      <c r="A361" t="s">
        <v>237</v>
      </c>
      <c r="B361" t="s">
        <v>25</v>
      </c>
      <c r="C361" s="2">
        <f>HYPERLINK("https://sao.dolgi.msk.ru/account/1404103609/", 1404103609)</f>
        <v>1404103609</v>
      </c>
      <c r="D361">
        <v>-2908.36</v>
      </c>
    </row>
    <row r="362" spans="1:4" x14ac:dyDescent="0.25">
      <c r="A362" t="s">
        <v>237</v>
      </c>
      <c r="B362" t="s">
        <v>26</v>
      </c>
      <c r="C362" s="2">
        <f>HYPERLINK("https://sao.dolgi.msk.ru/account/1404102534/", 1404102534)</f>
        <v>1404102534</v>
      </c>
      <c r="D362">
        <v>69396.56</v>
      </c>
    </row>
    <row r="363" spans="1:4" hidden="1" x14ac:dyDescent="0.25">
      <c r="A363" t="s">
        <v>237</v>
      </c>
      <c r="B363" t="s">
        <v>27</v>
      </c>
      <c r="C363" s="2">
        <f>HYPERLINK("https://sao.dolgi.msk.ru/account/1404103625/", 1404103625)</f>
        <v>1404103625</v>
      </c>
      <c r="D363">
        <v>-1010.36</v>
      </c>
    </row>
    <row r="364" spans="1:4" hidden="1" x14ac:dyDescent="0.25">
      <c r="A364" t="s">
        <v>237</v>
      </c>
      <c r="B364" t="s">
        <v>28</v>
      </c>
      <c r="C364" s="2">
        <f>HYPERLINK("https://sao.dolgi.msk.ru/account/1404102542/", 1404102542)</f>
        <v>1404102542</v>
      </c>
      <c r="D364">
        <v>-4393.25</v>
      </c>
    </row>
    <row r="365" spans="1:4" hidden="1" x14ac:dyDescent="0.25">
      <c r="A365" t="s">
        <v>237</v>
      </c>
      <c r="B365" t="s">
        <v>29</v>
      </c>
      <c r="C365" s="2">
        <f>HYPERLINK("https://sao.dolgi.msk.ru/account/1404101144/", 1404101144)</f>
        <v>1404101144</v>
      </c>
      <c r="D365">
        <v>-4883.09</v>
      </c>
    </row>
    <row r="366" spans="1:4" hidden="1" x14ac:dyDescent="0.25">
      <c r="A366" t="s">
        <v>237</v>
      </c>
      <c r="B366" t="s">
        <v>30</v>
      </c>
      <c r="C366" s="2">
        <f>HYPERLINK("https://sao.dolgi.msk.ru/account/1404101603/", 1404101603)</f>
        <v>1404101603</v>
      </c>
      <c r="D366">
        <v>0</v>
      </c>
    </row>
    <row r="367" spans="1:4" x14ac:dyDescent="0.25">
      <c r="A367" t="s">
        <v>237</v>
      </c>
      <c r="B367" t="s">
        <v>31</v>
      </c>
      <c r="C367" s="2">
        <f>HYPERLINK("https://sao.dolgi.msk.ru/account/1404154983/", 1404154983)</f>
        <v>1404154983</v>
      </c>
      <c r="D367">
        <v>1544.63</v>
      </c>
    </row>
    <row r="368" spans="1:4" hidden="1" x14ac:dyDescent="0.25">
      <c r="A368" t="s">
        <v>237</v>
      </c>
      <c r="B368" t="s">
        <v>32</v>
      </c>
      <c r="C368" s="2">
        <f>HYPERLINK("https://sao.dolgi.msk.ru/account/1404101902/", 1404101902)</f>
        <v>1404101902</v>
      </c>
      <c r="D368">
        <v>0</v>
      </c>
    </row>
    <row r="369" spans="1:4" hidden="1" x14ac:dyDescent="0.25">
      <c r="A369" t="s">
        <v>237</v>
      </c>
      <c r="B369" t="s">
        <v>33</v>
      </c>
      <c r="C369" s="2">
        <f>HYPERLINK("https://sao.dolgi.msk.ru/account/1404101152/", 1404101152)</f>
        <v>1404101152</v>
      </c>
      <c r="D369">
        <v>-11143.91</v>
      </c>
    </row>
    <row r="370" spans="1:4" hidden="1" x14ac:dyDescent="0.25">
      <c r="A370" t="s">
        <v>237</v>
      </c>
      <c r="B370" t="s">
        <v>34</v>
      </c>
      <c r="C370" s="2">
        <f>HYPERLINK("https://sao.dolgi.msk.ru/account/1404101611/", 1404101611)</f>
        <v>1404101611</v>
      </c>
      <c r="D370">
        <v>-2303.96</v>
      </c>
    </row>
    <row r="371" spans="1:4" hidden="1" x14ac:dyDescent="0.25">
      <c r="A371" t="s">
        <v>237</v>
      </c>
      <c r="B371" t="s">
        <v>35</v>
      </c>
      <c r="C371" s="2">
        <f>HYPERLINK("https://sao.dolgi.msk.ru/account/1404103262/", 1404103262)</f>
        <v>1404103262</v>
      </c>
      <c r="D371">
        <v>0</v>
      </c>
    </row>
    <row r="372" spans="1:4" x14ac:dyDescent="0.25">
      <c r="A372" t="s">
        <v>237</v>
      </c>
      <c r="B372" t="s">
        <v>36</v>
      </c>
      <c r="C372" s="2">
        <f>HYPERLINK("https://sao.dolgi.msk.ru/account/1404101179/", 1404101179)</f>
        <v>1404101179</v>
      </c>
      <c r="D372">
        <v>878.93</v>
      </c>
    </row>
    <row r="373" spans="1:4" x14ac:dyDescent="0.25">
      <c r="A373" t="s">
        <v>237</v>
      </c>
      <c r="B373" t="s">
        <v>37</v>
      </c>
      <c r="C373" s="2">
        <f>HYPERLINK("https://sao.dolgi.msk.ru/account/1404103289/", 1404103289)</f>
        <v>1404103289</v>
      </c>
      <c r="D373">
        <v>4891.92</v>
      </c>
    </row>
    <row r="374" spans="1:4" x14ac:dyDescent="0.25">
      <c r="A374" t="s">
        <v>237</v>
      </c>
      <c r="B374" t="s">
        <v>38</v>
      </c>
      <c r="C374" s="2">
        <f>HYPERLINK("https://sao.dolgi.msk.ru/account/1404101187/", 1404101187)</f>
        <v>1404101187</v>
      </c>
      <c r="D374">
        <v>2140.1999999999998</v>
      </c>
    </row>
    <row r="375" spans="1:4" hidden="1" x14ac:dyDescent="0.25">
      <c r="A375" t="s">
        <v>237</v>
      </c>
      <c r="B375" t="s">
        <v>39</v>
      </c>
      <c r="C375" s="2">
        <f>HYPERLINK("https://sao.dolgi.msk.ru/account/1404101195/", 1404101195)</f>
        <v>1404101195</v>
      </c>
      <c r="D375">
        <v>-3838.03</v>
      </c>
    </row>
    <row r="376" spans="1:4" x14ac:dyDescent="0.25">
      <c r="A376" t="s">
        <v>237</v>
      </c>
      <c r="B376" t="s">
        <v>40</v>
      </c>
      <c r="C376" s="2">
        <f>HYPERLINK("https://sao.dolgi.msk.ru/account/1404102569/", 1404102569)</f>
        <v>1404102569</v>
      </c>
      <c r="D376">
        <v>363.41</v>
      </c>
    </row>
    <row r="377" spans="1:4" hidden="1" x14ac:dyDescent="0.25">
      <c r="A377" t="s">
        <v>237</v>
      </c>
      <c r="B377" t="s">
        <v>41</v>
      </c>
      <c r="C377" s="2">
        <f>HYPERLINK("https://sao.dolgi.msk.ru/account/1404101208/", 1404101208)</f>
        <v>1404101208</v>
      </c>
      <c r="D377">
        <v>-8785.27</v>
      </c>
    </row>
    <row r="378" spans="1:4" hidden="1" x14ac:dyDescent="0.25">
      <c r="A378" t="s">
        <v>237</v>
      </c>
      <c r="B378" t="s">
        <v>42</v>
      </c>
      <c r="C378" s="2">
        <f>HYPERLINK("https://sao.dolgi.msk.ru/account/1404102577/", 1404102577)</f>
        <v>1404102577</v>
      </c>
      <c r="D378">
        <v>-2160.5300000000002</v>
      </c>
    </row>
    <row r="379" spans="1:4" hidden="1" x14ac:dyDescent="0.25">
      <c r="A379" t="s">
        <v>237</v>
      </c>
      <c r="B379" t="s">
        <v>43</v>
      </c>
      <c r="C379" s="2">
        <f>HYPERLINK("https://sao.dolgi.msk.ru/account/1404102948/", 1404102948)</f>
        <v>1404102948</v>
      </c>
      <c r="D379">
        <v>-5801.01</v>
      </c>
    </row>
    <row r="380" spans="1:4" hidden="1" x14ac:dyDescent="0.25">
      <c r="A380" t="s">
        <v>237</v>
      </c>
      <c r="B380" t="s">
        <v>44</v>
      </c>
      <c r="C380" s="2">
        <f>HYPERLINK("https://sao.dolgi.msk.ru/account/1404102956/", 1404102956)</f>
        <v>1404102956</v>
      </c>
      <c r="D380">
        <v>-6459.45</v>
      </c>
    </row>
    <row r="381" spans="1:4" x14ac:dyDescent="0.25">
      <c r="A381" t="s">
        <v>237</v>
      </c>
      <c r="B381" t="s">
        <v>45</v>
      </c>
      <c r="C381" s="2">
        <f>HYPERLINK("https://sao.dolgi.msk.ru/account/1404103297/", 1404103297)</f>
        <v>1404103297</v>
      </c>
      <c r="D381">
        <v>5757.33</v>
      </c>
    </row>
    <row r="382" spans="1:4" hidden="1" x14ac:dyDescent="0.25">
      <c r="A382" t="s">
        <v>237</v>
      </c>
      <c r="B382" t="s">
        <v>46</v>
      </c>
      <c r="C382" s="2">
        <f>HYPERLINK("https://sao.dolgi.msk.ru/account/1404102294/", 1404102294)</f>
        <v>1404102294</v>
      </c>
      <c r="D382">
        <v>0</v>
      </c>
    </row>
    <row r="383" spans="1:4" hidden="1" x14ac:dyDescent="0.25">
      <c r="A383" t="s">
        <v>237</v>
      </c>
      <c r="B383" t="s">
        <v>47</v>
      </c>
      <c r="C383" s="2">
        <f>HYPERLINK("https://sao.dolgi.msk.ru/account/1404102964/", 1404102964)</f>
        <v>1404102964</v>
      </c>
      <c r="D383">
        <v>-14143.25</v>
      </c>
    </row>
    <row r="384" spans="1:4" hidden="1" x14ac:dyDescent="0.25">
      <c r="A384" t="s">
        <v>237</v>
      </c>
      <c r="B384" t="s">
        <v>48</v>
      </c>
      <c r="C384" s="2">
        <f>HYPERLINK("https://sao.dolgi.msk.ru/account/1404102585/", 1404102585)</f>
        <v>1404102585</v>
      </c>
      <c r="D384">
        <v>-4767.58</v>
      </c>
    </row>
    <row r="385" spans="1:4" hidden="1" x14ac:dyDescent="0.25">
      <c r="A385" t="s">
        <v>237</v>
      </c>
      <c r="B385" t="s">
        <v>49</v>
      </c>
      <c r="C385" s="2">
        <f>HYPERLINK("https://sao.dolgi.msk.ru/account/1404101216/", 1404101216)</f>
        <v>1404101216</v>
      </c>
      <c r="D385">
        <v>-647.76</v>
      </c>
    </row>
    <row r="386" spans="1:4" hidden="1" x14ac:dyDescent="0.25">
      <c r="A386" t="s">
        <v>237</v>
      </c>
      <c r="B386" t="s">
        <v>50</v>
      </c>
      <c r="C386" s="2">
        <f>HYPERLINK("https://sao.dolgi.msk.ru/account/1404102593/", 1404102593)</f>
        <v>1404102593</v>
      </c>
      <c r="D386">
        <v>-88.5</v>
      </c>
    </row>
    <row r="387" spans="1:4" hidden="1" x14ac:dyDescent="0.25">
      <c r="A387" t="s">
        <v>237</v>
      </c>
      <c r="B387" t="s">
        <v>51</v>
      </c>
      <c r="C387" s="2">
        <f>HYPERLINK("https://sao.dolgi.msk.ru/account/1404102606/", 1404102606)</f>
        <v>1404102606</v>
      </c>
      <c r="D387">
        <v>-99.12</v>
      </c>
    </row>
    <row r="388" spans="1:4" x14ac:dyDescent="0.25">
      <c r="A388" t="s">
        <v>237</v>
      </c>
      <c r="B388" t="s">
        <v>52</v>
      </c>
      <c r="C388" s="2">
        <f>HYPERLINK("https://sao.dolgi.msk.ru/account/1404103641/", 1404103641)</f>
        <v>1404103641</v>
      </c>
      <c r="D388">
        <v>1196.08</v>
      </c>
    </row>
    <row r="389" spans="1:4" hidden="1" x14ac:dyDescent="0.25">
      <c r="A389" t="s">
        <v>237</v>
      </c>
      <c r="B389" t="s">
        <v>53</v>
      </c>
      <c r="C389" s="2">
        <f>HYPERLINK("https://sao.dolgi.msk.ru/account/1404101929/", 1404101929)</f>
        <v>1404101929</v>
      </c>
      <c r="D389">
        <v>-2016.75</v>
      </c>
    </row>
    <row r="390" spans="1:4" hidden="1" x14ac:dyDescent="0.25">
      <c r="A390" t="s">
        <v>237</v>
      </c>
      <c r="B390" t="s">
        <v>54</v>
      </c>
      <c r="C390" s="2">
        <f>HYPERLINK("https://sao.dolgi.msk.ru/account/1404101937/", 1404101937)</f>
        <v>1404101937</v>
      </c>
      <c r="D390">
        <v>0</v>
      </c>
    </row>
    <row r="391" spans="1:4" hidden="1" x14ac:dyDescent="0.25">
      <c r="A391" t="s">
        <v>237</v>
      </c>
      <c r="B391" t="s">
        <v>55</v>
      </c>
      <c r="C391" s="2">
        <f>HYPERLINK("https://sao.dolgi.msk.ru/account/1404103668/", 1404103668)</f>
        <v>1404103668</v>
      </c>
      <c r="D391">
        <v>-5273.2</v>
      </c>
    </row>
    <row r="392" spans="1:4" hidden="1" x14ac:dyDescent="0.25">
      <c r="A392" t="s">
        <v>237</v>
      </c>
      <c r="B392" t="s">
        <v>56</v>
      </c>
      <c r="C392" s="2">
        <f>HYPERLINK("https://sao.dolgi.msk.ru/account/1404102972/", 1404102972)</f>
        <v>1404102972</v>
      </c>
      <c r="D392">
        <v>-5649.15</v>
      </c>
    </row>
    <row r="393" spans="1:4" hidden="1" x14ac:dyDescent="0.25">
      <c r="A393" t="s">
        <v>237</v>
      </c>
      <c r="B393" t="s">
        <v>57</v>
      </c>
      <c r="C393" s="2">
        <f>HYPERLINK("https://sao.dolgi.msk.ru/account/1404102999/", 1404102999)</f>
        <v>1404102999</v>
      </c>
      <c r="D393">
        <v>-3854.7</v>
      </c>
    </row>
    <row r="394" spans="1:4" x14ac:dyDescent="0.25">
      <c r="A394" t="s">
        <v>237</v>
      </c>
      <c r="B394" t="s">
        <v>58</v>
      </c>
      <c r="C394" s="2">
        <f>HYPERLINK("https://sao.dolgi.msk.ru/account/1404103318/", 1404103318)</f>
        <v>1404103318</v>
      </c>
      <c r="D394">
        <v>5580.22</v>
      </c>
    </row>
    <row r="395" spans="1:4" hidden="1" x14ac:dyDescent="0.25">
      <c r="A395" t="s">
        <v>237</v>
      </c>
      <c r="B395" t="s">
        <v>59</v>
      </c>
      <c r="C395" s="2">
        <f>HYPERLINK("https://sao.dolgi.msk.ru/account/1404101224/", 1404101224)</f>
        <v>1404101224</v>
      </c>
      <c r="D395">
        <v>-109.53</v>
      </c>
    </row>
    <row r="396" spans="1:4" x14ac:dyDescent="0.25">
      <c r="A396" t="s">
        <v>237</v>
      </c>
      <c r="B396" t="s">
        <v>60</v>
      </c>
      <c r="C396" s="2">
        <f>HYPERLINK("https://sao.dolgi.msk.ru/account/1404103019/", 1404103019)</f>
        <v>1404103019</v>
      </c>
      <c r="D396">
        <v>4023.42</v>
      </c>
    </row>
    <row r="397" spans="1:4" hidden="1" x14ac:dyDescent="0.25">
      <c r="A397" t="s">
        <v>237</v>
      </c>
      <c r="B397" t="s">
        <v>61</v>
      </c>
      <c r="C397" s="2">
        <f>HYPERLINK("https://sao.dolgi.msk.ru/account/1404101646/", 1404101646)</f>
        <v>1404101646</v>
      </c>
      <c r="D397">
        <v>-7720.69</v>
      </c>
    </row>
    <row r="398" spans="1:4" hidden="1" x14ac:dyDescent="0.25">
      <c r="A398" t="s">
        <v>237</v>
      </c>
      <c r="B398" t="s">
        <v>62</v>
      </c>
      <c r="C398" s="2">
        <f>HYPERLINK("https://sao.dolgi.msk.ru/account/1404101654/", 1404101654)</f>
        <v>1404101654</v>
      </c>
      <c r="D398">
        <v>0</v>
      </c>
    </row>
    <row r="399" spans="1:4" hidden="1" x14ac:dyDescent="0.25">
      <c r="A399" t="s">
        <v>237</v>
      </c>
      <c r="B399" t="s">
        <v>63</v>
      </c>
      <c r="C399" s="2">
        <f>HYPERLINK("https://sao.dolgi.msk.ru/account/1404101945/", 1404101945)</f>
        <v>1404101945</v>
      </c>
      <c r="D399">
        <v>0</v>
      </c>
    </row>
    <row r="400" spans="1:4" hidden="1" x14ac:dyDescent="0.25">
      <c r="A400" t="s">
        <v>237</v>
      </c>
      <c r="B400" t="s">
        <v>64</v>
      </c>
      <c r="C400" s="2">
        <f>HYPERLINK("https://sao.dolgi.msk.ru/account/1404101662/", 1404101662)</f>
        <v>1404101662</v>
      </c>
      <c r="D400">
        <v>-30.72</v>
      </c>
    </row>
    <row r="401" spans="1:4" x14ac:dyDescent="0.25">
      <c r="A401" t="s">
        <v>237</v>
      </c>
      <c r="B401" t="s">
        <v>65</v>
      </c>
      <c r="C401" s="2">
        <f>HYPERLINK("https://sao.dolgi.msk.ru/account/1404103326/", 1404103326)</f>
        <v>1404103326</v>
      </c>
      <c r="D401">
        <v>215128.64</v>
      </c>
    </row>
    <row r="402" spans="1:4" hidden="1" x14ac:dyDescent="0.25">
      <c r="A402" t="s">
        <v>237</v>
      </c>
      <c r="B402" t="s">
        <v>66</v>
      </c>
      <c r="C402" s="2">
        <f>HYPERLINK("https://sao.dolgi.msk.ru/account/1404101232/", 1404101232)</f>
        <v>1404101232</v>
      </c>
      <c r="D402">
        <v>-5746.22</v>
      </c>
    </row>
    <row r="403" spans="1:4" hidden="1" x14ac:dyDescent="0.25">
      <c r="A403" t="s">
        <v>237</v>
      </c>
      <c r="B403" t="s">
        <v>67</v>
      </c>
      <c r="C403" s="2">
        <f>HYPERLINK("https://sao.dolgi.msk.ru/account/1404101259/", 1404101259)</f>
        <v>1404101259</v>
      </c>
      <c r="D403">
        <v>-5316.66</v>
      </c>
    </row>
    <row r="404" spans="1:4" hidden="1" x14ac:dyDescent="0.25">
      <c r="A404" t="s">
        <v>237</v>
      </c>
      <c r="B404" t="s">
        <v>68</v>
      </c>
      <c r="C404" s="2">
        <f>HYPERLINK("https://sao.dolgi.msk.ru/account/1404103027/", 1404103027)</f>
        <v>1404103027</v>
      </c>
      <c r="D404">
        <v>-2772.83</v>
      </c>
    </row>
    <row r="405" spans="1:4" hidden="1" x14ac:dyDescent="0.25">
      <c r="A405" t="s">
        <v>237</v>
      </c>
      <c r="B405" t="s">
        <v>69</v>
      </c>
      <c r="C405" s="2">
        <f>HYPERLINK("https://sao.dolgi.msk.ru/account/1404101689/", 1404101689)</f>
        <v>1404101689</v>
      </c>
      <c r="D405">
        <v>-5914.11</v>
      </c>
    </row>
    <row r="406" spans="1:4" hidden="1" x14ac:dyDescent="0.25">
      <c r="A406" t="s">
        <v>237</v>
      </c>
      <c r="B406" t="s">
        <v>70</v>
      </c>
      <c r="C406" s="2">
        <f>HYPERLINK("https://sao.dolgi.msk.ru/account/1404101953/", 1404101953)</f>
        <v>1404101953</v>
      </c>
      <c r="D406">
        <v>-8179.76</v>
      </c>
    </row>
    <row r="407" spans="1:4" hidden="1" x14ac:dyDescent="0.25">
      <c r="A407" t="s">
        <v>237</v>
      </c>
      <c r="B407" t="s">
        <v>71</v>
      </c>
      <c r="C407" s="2">
        <f>HYPERLINK("https://sao.dolgi.msk.ru/account/1404101961/", 1404101961)</f>
        <v>1404101961</v>
      </c>
      <c r="D407">
        <v>0</v>
      </c>
    </row>
    <row r="408" spans="1:4" hidden="1" x14ac:dyDescent="0.25">
      <c r="A408" t="s">
        <v>237</v>
      </c>
      <c r="B408" t="s">
        <v>72</v>
      </c>
      <c r="C408" s="2">
        <f>HYPERLINK("https://sao.dolgi.msk.ru/account/1404101988/", 1404101988)</f>
        <v>1404101988</v>
      </c>
      <c r="D408">
        <v>-6164.59</v>
      </c>
    </row>
    <row r="409" spans="1:4" hidden="1" x14ac:dyDescent="0.25">
      <c r="A409" t="s">
        <v>237</v>
      </c>
      <c r="B409" t="s">
        <v>73</v>
      </c>
      <c r="C409" s="2">
        <f>HYPERLINK("https://sao.dolgi.msk.ru/account/1404101697/", 1404101697)</f>
        <v>1404101697</v>
      </c>
      <c r="D409">
        <v>-1940.35</v>
      </c>
    </row>
    <row r="410" spans="1:4" hidden="1" x14ac:dyDescent="0.25">
      <c r="A410" t="s">
        <v>237</v>
      </c>
      <c r="B410" t="s">
        <v>73</v>
      </c>
      <c r="C410" s="2">
        <f>HYPERLINK("https://sao.dolgi.msk.ru/account/1404101769/", 1404101769)</f>
        <v>1404101769</v>
      </c>
      <c r="D410">
        <v>-3646.68</v>
      </c>
    </row>
    <row r="411" spans="1:4" hidden="1" x14ac:dyDescent="0.25">
      <c r="A411" t="s">
        <v>237</v>
      </c>
      <c r="B411" t="s">
        <v>74</v>
      </c>
      <c r="C411" s="2">
        <f>HYPERLINK("https://sao.dolgi.msk.ru/account/1404102323/", 1404102323)</f>
        <v>1404102323</v>
      </c>
      <c r="D411">
        <v>-1840.6</v>
      </c>
    </row>
    <row r="412" spans="1:4" hidden="1" x14ac:dyDescent="0.25">
      <c r="A412" t="s">
        <v>237</v>
      </c>
      <c r="B412" t="s">
        <v>75</v>
      </c>
      <c r="C412" s="2">
        <f>HYPERLINK("https://sao.dolgi.msk.ru/account/1404103334/", 1404103334)</f>
        <v>1404103334</v>
      </c>
      <c r="D412">
        <v>-3963.46</v>
      </c>
    </row>
    <row r="413" spans="1:4" hidden="1" x14ac:dyDescent="0.25">
      <c r="A413" t="s">
        <v>237</v>
      </c>
      <c r="B413" t="s">
        <v>76</v>
      </c>
      <c r="C413" s="2">
        <f>HYPERLINK("https://sao.dolgi.msk.ru/account/1404101718/", 1404101718)</f>
        <v>1404101718</v>
      </c>
      <c r="D413">
        <v>-2530.1999999999998</v>
      </c>
    </row>
    <row r="414" spans="1:4" hidden="1" x14ac:dyDescent="0.25">
      <c r="A414" t="s">
        <v>237</v>
      </c>
      <c r="B414" t="s">
        <v>77</v>
      </c>
      <c r="C414" s="2">
        <f>HYPERLINK("https://sao.dolgi.msk.ru/account/1404101996/", 1404101996)</f>
        <v>1404101996</v>
      </c>
      <c r="D414">
        <v>-4144.41</v>
      </c>
    </row>
    <row r="415" spans="1:4" hidden="1" x14ac:dyDescent="0.25">
      <c r="A415" t="s">
        <v>237</v>
      </c>
      <c r="B415" t="s">
        <v>78</v>
      </c>
      <c r="C415" s="2">
        <f>HYPERLINK("https://sao.dolgi.msk.ru/account/1404103676/", 1404103676)</f>
        <v>1404103676</v>
      </c>
      <c r="D415">
        <v>-5258.22</v>
      </c>
    </row>
    <row r="416" spans="1:4" hidden="1" x14ac:dyDescent="0.25">
      <c r="A416" t="s">
        <v>237</v>
      </c>
      <c r="B416" t="s">
        <v>79</v>
      </c>
      <c r="C416" s="2">
        <f>HYPERLINK("https://sao.dolgi.msk.ru/account/1404101267/", 1404101267)</f>
        <v>1404101267</v>
      </c>
      <c r="D416">
        <v>-2717</v>
      </c>
    </row>
    <row r="417" spans="1:4" hidden="1" x14ac:dyDescent="0.25">
      <c r="A417" t="s">
        <v>237</v>
      </c>
      <c r="B417" t="s">
        <v>80</v>
      </c>
      <c r="C417" s="2">
        <f>HYPERLINK("https://sao.dolgi.msk.ru/account/1404101275/", 1404101275)</f>
        <v>1404101275</v>
      </c>
      <c r="D417">
        <v>0</v>
      </c>
    </row>
    <row r="418" spans="1:4" hidden="1" x14ac:dyDescent="0.25">
      <c r="A418" t="s">
        <v>237</v>
      </c>
      <c r="B418" t="s">
        <v>81</v>
      </c>
      <c r="C418" s="2">
        <f>HYPERLINK("https://sao.dolgi.msk.ru/account/1404103342/", 1404103342)</f>
        <v>1404103342</v>
      </c>
      <c r="D418">
        <v>-1938.18</v>
      </c>
    </row>
    <row r="419" spans="1:4" hidden="1" x14ac:dyDescent="0.25">
      <c r="A419" t="s">
        <v>237</v>
      </c>
      <c r="B419" t="s">
        <v>81</v>
      </c>
      <c r="C419" s="2">
        <f>HYPERLINK("https://sao.dolgi.msk.ru/account/1404103377/", 1404103377)</f>
        <v>1404103377</v>
      </c>
      <c r="D419">
        <v>-2432.83</v>
      </c>
    </row>
    <row r="420" spans="1:4" hidden="1" x14ac:dyDescent="0.25">
      <c r="A420" t="s">
        <v>237</v>
      </c>
      <c r="B420" t="s">
        <v>82</v>
      </c>
      <c r="C420" s="2">
        <f>HYPERLINK("https://sao.dolgi.msk.ru/account/1404102614/", 1404102614)</f>
        <v>1404102614</v>
      </c>
      <c r="D420">
        <v>-4091.55</v>
      </c>
    </row>
    <row r="421" spans="1:4" x14ac:dyDescent="0.25">
      <c r="A421" t="s">
        <v>237</v>
      </c>
      <c r="B421" t="s">
        <v>83</v>
      </c>
      <c r="C421" s="2">
        <f>HYPERLINK("https://sao.dolgi.msk.ru/account/1404103684/", 1404103684)</f>
        <v>1404103684</v>
      </c>
      <c r="D421">
        <v>16128.07</v>
      </c>
    </row>
    <row r="422" spans="1:4" hidden="1" x14ac:dyDescent="0.25">
      <c r="A422" t="s">
        <v>237</v>
      </c>
      <c r="B422" t="s">
        <v>84</v>
      </c>
      <c r="C422" s="2">
        <f>HYPERLINK("https://sao.dolgi.msk.ru/account/1404101283/", 1404101283)</f>
        <v>1404101283</v>
      </c>
      <c r="D422">
        <v>-109.53</v>
      </c>
    </row>
    <row r="423" spans="1:4" hidden="1" x14ac:dyDescent="0.25">
      <c r="A423" t="s">
        <v>237</v>
      </c>
      <c r="B423" t="s">
        <v>85</v>
      </c>
      <c r="C423" s="2">
        <f>HYPERLINK("https://sao.dolgi.msk.ru/account/1404102008/", 1404102008)</f>
        <v>1404102008</v>
      </c>
      <c r="D423">
        <v>-1420.79</v>
      </c>
    </row>
    <row r="424" spans="1:4" hidden="1" x14ac:dyDescent="0.25">
      <c r="A424" t="s">
        <v>237</v>
      </c>
      <c r="B424" t="s">
        <v>86</v>
      </c>
      <c r="C424" s="2">
        <f>HYPERLINK("https://sao.dolgi.msk.ru/account/1404101726/", 1404101726)</f>
        <v>1404101726</v>
      </c>
      <c r="D424">
        <v>0</v>
      </c>
    </row>
    <row r="425" spans="1:4" hidden="1" x14ac:dyDescent="0.25">
      <c r="A425" t="s">
        <v>237</v>
      </c>
      <c r="B425" t="s">
        <v>87</v>
      </c>
      <c r="C425" s="2">
        <f>HYPERLINK("https://sao.dolgi.msk.ru/account/1404103035/", 1404103035)</f>
        <v>1404103035</v>
      </c>
      <c r="D425">
        <v>0</v>
      </c>
    </row>
    <row r="426" spans="1:4" hidden="1" x14ac:dyDescent="0.25">
      <c r="A426" t="s">
        <v>237</v>
      </c>
      <c r="B426" t="s">
        <v>88</v>
      </c>
      <c r="C426" s="2">
        <f>HYPERLINK("https://sao.dolgi.msk.ru/account/1404102016/", 1404102016)</f>
        <v>1404102016</v>
      </c>
      <c r="D426">
        <v>-6467.28</v>
      </c>
    </row>
    <row r="427" spans="1:4" hidden="1" x14ac:dyDescent="0.25">
      <c r="A427" t="s">
        <v>237</v>
      </c>
      <c r="B427" t="s">
        <v>89</v>
      </c>
      <c r="C427" s="2">
        <f>HYPERLINK("https://sao.dolgi.msk.ru/account/1404102331/", 1404102331)</f>
        <v>1404102331</v>
      </c>
      <c r="D427">
        <v>-4508.9799999999996</v>
      </c>
    </row>
    <row r="428" spans="1:4" hidden="1" x14ac:dyDescent="0.25">
      <c r="A428" t="s">
        <v>237</v>
      </c>
      <c r="B428" t="s">
        <v>90</v>
      </c>
      <c r="C428" s="2">
        <f>HYPERLINK("https://sao.dolgi.msk.ru/account/1404102649/", 1404102649)</f>
        <v>1404102649</v>
      </c>
      <c r="D428">
        <v>-7419.41</v>
      </c>
    </row>
    <row r="429" spans="1:4" hidden="1" x14ac:dyDescent="0.25">
      <c r="A429" t="s">
        <v>237</v>
      </c>
      <c r="B429" t="s">
        <v>91</v>
      </c>
      <c r="C429" s="2">
        <f>HYPERLINK("https://sao.dolgi.msk.ru/account/1404103369/", 1404103369)</f>
        <v>1404103369</v>
      </c>
      <c r="D429">
        <v>-138.96</v>
      </c>
    </row>
    <row r="430" spans="1:4" hidden="1" x14ac:dyDescent="0.25">
      <c r="A430" t="s">
        <v>237</v>
      </c>
      <c r="B430" t="s">
        <v>92</v>
      </c>
      <c r="C430" s="2">
        <f>HYPERLINK("https://sao.dolgi.msk.ru/account/1404102657/", 1404102657)</f>
        <v>1404102657</v>
      </c>
      <c r="D430">
        <v>-4433.59</v>
      </c>
    </row>
    <row r="431" spans="1:4" hidden="1" x14ac:dyDescent="0.25">
      <c r="A431" t="s">
        <v>237</v>
      </c>
      <c r="B431" t="s">
        <v>93</v>
      </c>
      <c r="C431" s="2">
        <f>HYPERLINK("https://sao.dolgi.msk.ru/account/1404102024/", 1404102024)</f>
        <v>1404102024</v>
      </c>
      <c r="D431">
        <v>-1934.12</v>
      </c>
    </row>
    <row r="432" spans="1:4" hidden="1" x14ac:dyDescent="0.25">
      <c r="A432" t="s">
        <v>237</v>
      </c>
      <c r="B432" t="s">
        <v>94</v>
      </c>
      <c r="C432" s="2">
        <f>HYPERLINK("https://sao.dolgi.msk.ru/account/1404101291/", 1404101291)</f>
        <v>1404101291</v>
      </c>
      <c r="D432">
        <v>-54.3</v>
      </c>
    </row>
    <row r="433" spans="1:4" x14ac:dyDescent="0.25">
      <c r="A433" t="s">
        <v>237</v>
      </c>
      <c r="B433" t="s">
        <v>95</v>
      </c>
      <c r="C433" s="2">
        <f>HYPERLINK("https://sao.dolgi.msk.ru/account/1404101304/", 1404101304)</f>
        <v>1404101304</v>
      </c>
      <c r="D433">
        <v>45357.29</v>
      </c>
    </row>
    <row r="434" spans="1:4" hidden="1" x14ac:dyDescent="0.25">
      <c r="A434" t="s">
        <v>237</v>
      </c>
      <c r="B434" t="s">
        <v>96</v>
      </c>
      <c r="C434" s="2">
        <f>HYPERLINK("https://sao.dolgi.msk.ru/account/1404102032/", 1404102032)</f>
        <v>1404102032</v>
      </c>
      <c r="D434">
        <v>-4022.56</v>
      </c>
    </row>
    <row r="435" spans="1:4" hidden="1" x14ac:dyDescent="0.25">
      <c r="A435" t="s">
        <v>237</v>
      </c>
      <c r="B435" t="s">
        <v>97</v>
      </c>
      <c r="C435" s="2">
        <f>HYPERLINK("https://sao.dolgi.msk.ru/account/1404103692/", 1404103692)</f>
        <v>1404103692</v>
      </c>
      <c r="D435">
        <v>-154.16</v>
      </c>
    </row>
    <row r="436" spans="1:4" hidden="1" x14ac:dyDescent="0.25">
      <c r="A436" t="s">
        <v>237</v>
      </c>
      <c r="B436" t="s">
        <v>98</v>
      </c>
      <c r="C436" s="2">
        <f>HYPERLINK("https://sao.dolgi.msk.ru/account/1404103705/", 1404103705)</f>
        <v>1404103705</v>
      </c>
      <c r="D436">
        <v>-4606.7299999999996</v>
      </c>
    </row>
    <row r="437" spans="1:4" hidden="1" x14ac:dyDescent="0.25">
      <c r="A437" t="s">
        <v>237</v>
      </c>
      <c r="B437" t="s">
        <v>99</v>
      </c>
      <c r="C437" s="2">
        <f>HYPERLINK("https://sao.dolgi.msk.ru/account/1404101734/", 1404101734)</f>
        <v>1404101734</v>
      </c>
      <c r="D437">
        <v>-8317.3799999999992</v>
      </c>
    </row>
    <row r="438" spans="1:4" hidden="1" x14ac:dyDescent="0.25">
      <c r="A438" t="s">
        <v>237</v>
      </c>
      <c r="B438" t="s">
        <v>100</v>
      </c>
      <c r="C438" s="2">
        <f>HYPERLINK("https://sao.dolgi.msk.ru/account/1404101312/", 1404101312)</f>
        <v>1404101312</v>
      </c>
      <c r="D438">
        <v>0</v>
      </c>
    </row>
    <row r="439" spans="1:4" hidden="1" x14ac:dyDescent="0.25">
      <c r="A439" t="s">
        <v>237</v>
      </c>
      <c r="B439" t="s">
        <v>101</v>
      </c>
      <c r="C439" s="2">
        <f>HYPERLINK("https://sao.dolgi.msk.ru/account/1404102358/", 1404102358)</f>
        <v>1404102358</v>
      </c>
      <c r="D439">
        <v>-4266.07</v>
      </c>
    </row>
    <row r="440" spans="1:4" hidden="1" x14ac:dyDescent="0.25">
      <c r="A440" t="s">
        <v>237</v>
      </c>
      <c r="B440" t="s">
        <v>102</v>
      </c>
      <c r="C440" s="2">
        <f>HYPERLINK("https://sao.dolgi.msk.ru/account/1404102366/", 1404102366)</f>
        <v>1404102366</v>
      </c>
      <c r="D440">
        <v>-2668.76</v>
      </c>
    </row>
    <row r="441" spans="1:4" hidden="1" x14ac:dyDescent="0.25">
      <c r="A441" t="s">
        <v>237</v>
      </c>
      <c r="B441" t="s">
        <v>103</v>
      </c>
      <c r="C441" s="2">
        <f>HYPERLINK("https://sao.dolgi.msk.ru/account/1404102665/", 1404102665)</f>
        <v>1404102665</v>
      </c>
      <c r="D441">
        <v>-6149.88</v>
      </c>
    </row>
    <row r="442" spans="1:4" hidden="1" x14ac:dyDescent="0.25">
      <c r="A442" t="s">
        <v>237</v>
      </c>
      <c r="B442" t="s">
        <v>104</v>
      </c>
      <c r="C442" s="2">
        <f>HYPERLINK("https://sao.dolgi.msk.ru/account/1404102673/", 1404102673)</f>
        <v>1404102673</v>
      </c>
      <c r="D442">
        <v>-109.21</v>
      </c>
    </row>
    <row r="443" spans="1:4" hidden="1" x14ac:dyDescent="0.25">
      <c r="A443" t="s">
        <v>237</v>
      </c>
      <c r="B443" t="s">
        <v>105</v>
      </c>
      <c r="C443" s="2">
        <f>HYPERLINK("https://sao.dolgi.msk.ru/account/1404101355/", 1404101355)</f>
        <v>1404101355</v>
      </c>
      <c r="D443">
        <v>0</v>
      </c>
    </row>
    <row r="444" spans="1:4" hidden="1" x14ac:dyDescent="0.25">
      <c r="A444" t="s">
        <v>237</v>
      </c>
      <c r="B444" t="s">
        <v>106</v>
      </c>
      <c r="C444" s="2">
        <f>HYPERLINK("https://sao.dolgi.msk.ru/account/1404101785/", 1404101785)</f>
        <v>1404101785</v>
      </c>
      <c r="D444">
        <v>0</v>
      </c>
    </row>
    <row r="445" spans="1:4" hidden="1" x14ac:dyDescent="0.25">
      <c r="A445" t="s">
        <v>237</v>
      </c>
      <c r="B445" t="s">
        <v>107</v>
      </c>
      <c r="C445" s="2">
        <f>HYPERLINK("https://sao.dolgi.msk.ru/account/1404103385/", 1404103385)</f>
        <v>1404103385</v>
      </c>
      <c r="D445">
        <v>-6001.59</v>
      </c>
    </row>
    <row r="446" spans="1:4" hidden="1" x14ac:dyDescent="0.25">
      <c r="A446" t="s">
        <v>237</v>
      </c>
      <c r="B446" t="s">
        <v>108</v>
      </c>
      <c r="C446" s="2">
        <f>HYPERLINK("https://sao.dolgi.msk.ru/account/1404101363/", 1404101363)</f>
        <v>1404101363</v>
      </c>
      <c r="D446">
        <v>-7482.32</v>
      </c>
    </row>
    <row r="447" spans="1:4" x14ac:dyDescent="0.25">
      <c r="A447" t="s">
        <v>237</v>
      </c>
      <c r="B447" t="s">
        <v>109</v>
      </c>
      <c r="C447" s="2">
        <f>HYPERLINK("https://sao.dolgi.msk.ru/account/1404102681/", 1404102681)</f>
        <v>1404102681</v>
      </c>
      <c r="D447">
        <v>1401.76</v>
      </c>
    </row>
    <row r="448" spans="1:4" hidden="1" x14ac:dyDescent="0.25">
      <c r="A448" t="s">
        <v>237</v>
      </c>
      <c r="B448" t="s">
        <v>110</v>
      </c>
      <c r="C448" s="2">
        <f>HYPERLINK("https://sao.dolgi.msk.ru/account/1404102059/", 1404102059)</f>
        <v>1404102059</v>
      </c>
      <c r="D448">
        <v>-108.16</v>
      </c>
    </row>
    <row r="449" spans="1:4" hidden="1" x14ac:dyDescent="0.25">
      <c r="A449" t="s">
        <v>237</v>
      </c>
      <c r="B449" t="s">
        <v>111</v>
      </c>
      <c r="C449" s="2">
        <f>HYPERLINK("https://sao.dolgi.msk.ru/account/1404103078/", 1404103078)</f>
        <v>1404103078</v>
      </c>
      <c r="D449">
        <v>-3379.33</v>
      </c>
    </row>
    <row r="450" spans="1:4" hidden="1" x14ac:dyDescent="0.25">
      <c r="A450" t="s">
        <v>237</v>
      </c>
      <c r="B450" t="s">
        <v>112</v>
      </c>
      <c r="C450" s="2">
        <f>HYPERLINK("https://sao.dolgi.msk.ru/account/1404102702/", 1404102702)</f>
        <v>1404102702</v>
      </c>
      <c r="D450">
        <v>-212.22</v>
      </c>
    </row>
    <row r="451" spans="1:4" hidden="1" x14ac:dyDescent="0.25">
      <c r="A451" t="s">
        <v>237</v>
      </c>
      <c r="B451" t="s">
        <v>113</v>
      </c>
      <c r="C451" s="2">
        <f>HYPERLINK("https://sao.dolgi.msk.ru/account/1404102729/", 1404102729)</f>
        <v>1404102729</v>
      </c>
      <c r="D451">
        <v>-3741.3</v>
      </c>
    </row>
    <row r="452" spans="1:4" hidden="1" x14ac:dyDescent="0.25">
      <c r="A452" t="s">
        <v>237</v>
      </c>
      <c r="B452" t="s">
        <v>114</v>
      </c>
      <c r="C452" s="2">
        <f>HYPERLINK("https://sao.dolgi.msk.ru/account/1404103393/", 1404103393)</f>
        <v>1404103393</v>
      </c>
      <c r="D452">
        <v>-8288.2199999999993</v>
      </c>
    </row>
    <row r="453" spans="1:4" hidden="1" x14ac:dyDescent="0.25">
      <c r="A453" t="s">
        <v>237</v>
      </c>
      <c r="B453" t="s">
        <v>115</v>
      </c>
      <c r="C453" s="2">
        <f>HYPERLINK("https://sao.dolgi.msk.ru/account/1404101371/", 1404101371)</f>
        <v>1404101371</v>
      </c>
      <c r="D453">
        <v>-6435.66</v>
      </c>
    </row>
    <row r="454" spans="1:4" x14ac:dyDescent="0.25">
      <c r="A454" t="s">
        <v>237</v>
      </c>
      <c r="B454" t="s">
        <v>116</v>
      </c>
      <c r="C454" s="2">
        <f>HYPERLINK("https://sao.dolgi.msk.ru/account/1404102737/", 1404102737)</f>
        <v>1404102737</v>
      </c>
      <c r="D454">
        <v>9588.02</v>
      </c>
    </row>
    <row r="455" spans="1:4" hidden="1" x14ac:dyDescent="0.25">
      <c r="A455" t="s">
        <v>237</v>
      </c>
      <c r="B455" t="s">
        <v>117</v>
      </c>
      <c r="C455" s="2">
        <f>HYPERLINK("https://sao.dolgi.msk.ru/account/1404102745/", 1404102745)</f>
        <v>1404102745</v>
      </c>
      <c r="D455">
        <v>-4442.45</v>
      </c>
    </row>
    <row r="456" spans="1:4" hidden="1" x14ac:dyDescent="0.25">
      <c r="A456" t="s">
        <v>237</v>
      </c>
      <c r="B456" t="s">
        <v>118</v>
      </c>
      <c r="C456" s="2">
        <f>HYPERLINK("https://sao.dolgi.msk.ru/account/1404102067/", 1404102067)</f>
        <v>1404102067</v>
      </c>
      <c r="D456">
        <v>-3631.77</v>
      </c>
    </row>
    <row r="457" spans="1:4" x14ac:dyDescent="0.25">
      <c r="A457" t="s">
        <v>237</v>
      </c>
      <c r="B457" t="s">
        <v>119</v>
      </c>
      <c r="C457" s="2">
        <f>HYPERLINK("https://sao.dolgi.msk.ru/account/1404155302/", 1404155302)</f>
        <v>1404155302</v>
      </c>
      <c r="D457">
        <v>8559.94</v>
      </c>
    </row>
    <row r="458" spans="1:4" hidden="1" x14ac:dyDescent="0.25">
      <c r="A458" t="s">
        <v>237</v>
      </c>
      <c r="B458" t="s">
        <v>120</v>
      </c>
      <c r="C458" s="2">
        <f>HYPERLINK("https://sao.dolgi.msk.ru/account/1404102075/", 1404102075)</f>
        <v>1404102075</v>
      </c>
      <c r="D458">
        <v>-6534.62</v>
      </c>
    </row>
    <row r="459" spans="1:4" hidden="1" x14ac:dyDescent="0.25">
      <c r="A459" t="s">
        <v>237</v>
      </c>
      <c r="B459" t="s">
        <v>121</v>
      </c>
      <c r="C459" s="2">
        <f>HYPERLINK("https://sao.dolgi.msk.ru/account/1404101005/", 1404101005)</f>
        <v>1404101005</v>
      </c>
      <c r="D459">
        <v>-4111.28</v>
      </c>
    </row>
    <row r="460" spans="1:4" hidden="1" x14ac:dyDescent="0.25">
      <c r="A460" t="s">
        <v>237</v>
      </c>
      <c r="B460" t="s">
        <v>122</v>
      </c>
      <c r="C460" s="2">
        <f>HYPERLINK("https://sao.dolgi.msk.ru/account/1404101013/", 1404101013)</f>
        <v>1404101013</v>
      </c>
      <c r="D460">
        <v>-6335.9</v>
      </c>
    </row>
    <row r="461" spans="1:4" hidden="1" x14ac:dyDescent="0.25">
      <c r="A461" t="s">
        <v>237</v>
      </c>
      <c r="B461" t="s">
        <v>123</v>
      </c>
      <c r="C461" s="2">
        <f>HYPERLINK("https://sao.dolgi.msk.ru/account/1404103094/", 1404103094)</f>
        <v>1404103094</v>
      </c>
      <c r="D461">
        <v>-6372.16</v>
      </c>
    </row>
    <row r="462" spans="1:4" hidden="1" x14ac:dyDescent="0.25">
      <c r="A462" t="s">
        <v>237</v>
      </c>
      <c r="B462" t="s">
        <v>124</v>
      </c>
      <c r="C462" s="2">
        <f>HYPERLINK("https://sao.dolgi.msk.ru/account/1404101398/", 1404101398)</f>
        <v>1404101398</v>
      </c>
      <c r="D462">
        <v>-3292.93</v>
      </c>
    </row>
    <row r="463" spans="1:4" hidden="1" x14ac:dyDescent="0.25">
      <c r="A463" t="s">
        <v>237</v>
      </c>
      <c r="B463" t="s">
        <v>125</v>
      </c>
      <c r="C463" s="2">
        <f>HYPERLINK("https://sao.dolgi.msk.ru/account/1404101419/", 1404101419)</f>
        <v>1404101419</v>
      </c>
      <c r="D463">
        <v>-5944.56</v>
      </c>
    </row>
    <row r="464" spans="1:4" hidden="1" x14ac:dyDescent="0.25">
      <c r="A464" t="s">
        <v>237</v>
      </c>
      <c r="B464" t="s">
        <v>126</v>
      </c>
      <c r="C464" s="2">
        <f>HYPERLINK("https://sao.dolgi.msk.ru/account/1404101021/", 1404101021)</f>
        <v>1404101021</v>
      </c>
      <c r="D464">
        <v>-213.42</v>
      </c>
    </row>
    <row r="465" spans="1:4" hidden="1" x14ac:dyDescent="0.25">
      <c r="A465" t="s">
        <v>237</v>
      </c>
      <c r="B465" t="s">
        <v>127</v>
      </c>
      <c r="C465" s="2">
        <f>HYPERLINK("https://sao.dolgi.msk.ru/account/1404102382/", 1404102382)</f>
        <v>1404102382</v>
      </c>
      <c r="D465">
        <v>0</v>
      </c>
    </row>
    <row r="466" spans="1:4" hidden="1" x14ac:dyDescent="0.25">
      <c r="A466" t="s">
        <v>237</v>
      </c>
      <c r="B466" t="s">
        <v>128</v>
      </c>
      <c r="C466" s="2">
        <f>HYPERLINK("https://sao.dolgi.msk.ru/account/1404102083/", 1404102083)</f>
        <v>1404102083</v>
      </c>
      <c r="D466">
        <v>0</v>
      </c>
    </row>
    <row r="467" spans="1:4" hidden="1" x14ac:dyDescent="0.25">
      <c r="A467" t="s">
        <v>237</v>
      </c>
      <c r="B467" t="s">
        <v>129</v>
      </c>
      <c r="C467" s="2">
        <f>HYPERLINK("https://sao.dolgi.msk.ru/account/1404101793/", 1404101793)</f>
        <v>1404101793</v>
      </c>
      <c r="D467">
        <v>-893.88</v>
      </c>
    </row>
    <row r="468" spans="1:4" hidden="1" x14ac:dyDescent="0.25">
      <c r="A468" t="s">
        <v>237</v>
      </c>
      <c r="B468" t="s">
        <v>130</v>
      </c>
      <c r="C468" s="2">
        <f>HYPERLINK("https://sao.dolgi.msk.ru/account/1404103107/", 1404103107)</f>
        <v>1404103107</v>
      </c>
      <c r="D468">
        <v>-19.98</v>
      </c>
    </row>
    <row r="469" spans="1:4" hidden="1" x14ac:dyDescent="0.25">
      <c r="A469" t="s">
        <v>237</v>
      </c>
      <c r="B469" t="s">
        <v>131</v>
      </c>
      <c r="C469" s="2">
        <f>HYPERLINK("https://sao.dolgi.msk.ru/account/1404103115/", 1404103115)</f>
        <v>1404103115</v>
      </c>
      <c r="D469">
        <v>0</v>
      </c>
    </row>
    <row r="470" spans="1:4" hidden="1" x14ac:dyDescent="0.25">
      <c r="A470" t="s">
        <v>237</v>
      </c>
      <c r="B470" t="s">
        <v>132</v>
      </c>
      <c r="C470" s="2">
        <f>HYPERLINK("https://sao.dolgi.msk.ru/account/1404101427/", 1404101427)</f>
        <v>1404101427</v>
      </c>
      <c r="D470">
        <v>-2346.2800000000002</v>
      </c>
    </row>
    <row r="471" spans="1:4" hidden="1" x14ac:dyDescent="0.25">
      <c r="A471" t="s">
        <v>237</v>
      </c>
      <c r="B471" t="s">
        <v>132</v>
      </c>
      <c r="C471" s="2">
        <f>HYPERLINK("https://sao.dolgi.msk.ru/account/1404101777/", 1404101777)</f>
        <v>1404101777</v>
      </c>
      <c r="D471">
        <v>-3971.77</v>
      </c>
    </row>
    <row r="472" spans="1:4" hidden="1" x14ac:dyDescent="0.25">
      <c r="A472" t="s">
        <v>237</v>
      </c>
      <c r="B472" t="s">
        <v>133</v>
      </c>
      <c r="C472" s="2">
        <f>HYPERLINK("https://sao.dolgi.msk.ru/account/1404101048/", 1404101048)</f>
        <v>1404101048</v>
      </c>
      <c r="D472">
        <v>-6205.83</v>
      </c>
    </row>
    <row r="473" spans="1:4" hidden="1" x14ac:dyDescent="0.25">
      <c r="A473" t="s">
        <v>237</v>
      </c>
      <c r="B473" t="s">
        <v>134</v>
      </c>
      <c r="C473" s="2">
        <f>HYPERLINK("https://sao.dolgi.msk.ru/account/1404102753/", 1404102753)</f>
        <v>1404102753</v>
      </c>
      <c r="D473">
        <v>0</v>
      </c>
    </row>
    <row r="474" spans="1:4" hidden="1" x14ac:dyDescent="0.25">
      <c r="A474" t="s">
        <v>237</v>
      </c>
      <c r="B474" t="s">
        <v>135</v>
      </c>
      <c r="C474" s="2">
        <f>HYPERLINK("https://sao.dolgi.msk.ru/account/1404103422/", 1404103422)</f>
        <v>1404103422</v>
      </c>
      <c r="D474">
        <v>-5453.42</v>
      </c>
    </row>
    <row r="475" spans="1:4" hidden="1" x14ac:dyDescent="0.25">
      <c r="A475" t="s">
        <v>237</v>
      </c>
      <c r="B475" t="s">
        <v>136</v>
      </c>
      <c r="C475" s="2">
        <f>HYPERLINK("https://sao.dolgi.msk.ru/account/1404101435/", 1404101435)</f>
        <v>1404101435</v>
      </c>
      <c r="D475">
        <v>-4822.8999999999996</v>
      </c>
    </row>
    <row r="476" spans="1:4" hidden="1" x14ac:dyDescent="0.25">
      <c r="A476" t="s">
        <v>237</v>
      </c>
      <c r="B476" t="s">
        <v>137</v>
      </c>
      <c r="C476" s="2">
        <f>HYPERLINK("https://sao.dolgi.msk.ru/account/1404101806/", 1404101806)</f>
        <v>1404101806</v>
      </c>
      <c r="D476">
        <v>0</v>
      </c>
    </row>
    <row r="477" spans="1:4" hidden="1" x14ac:dyDescent="0.25">
      <c r="A477" t="s">
        <v>237</v>
      </c>
      <c r="B477" t="s">
        <v>138</v>
      </c>
      <c r="C477" s="2">
        <f>HYPERLINK("https://sao.dolgi.msk.ru/account/1404101443/", 1404101443)</f>
        <v>1404101443</v>
      </c>
      <c r="D477">
        <v>-4499.26</v>
      </c>
    </row>
    <row r="478" spans="1:4" hidden="1" x14ac:dyDescent="0.25">
      <c r="A478" t="s">
        <v>237</v>
      </c>
      <c r="B478" t="s">
        <v>139</v>
      </c>
      <c r="C478" s="2">
        <f>HYPERLINK("https://sao.dolgi.msk.ru/account/1404102091/", 1404102091)</f>
        <v>1404102091</v>
      </c>
      <c r="D478">
        <v>-3220.27</v>
      </c>
    </row>
    <row r="479" spans="1:4" hidden="1" x14ac:dyDescent="0.25">
      <c r="A479" t="s">
        <v>237</v>
      </c>
      <c r="B479" t="s">
        <v>140</v>
      </c>
      <c r="C479" s="2">
        <f>HYPERLINK("https://sao.dolgi.msk.ru/account/1404102403/", 1404102403)</f>
        <v>1404102403</v>
      </c>
      <c r="D479">
        <v>-149.79</v>
      </c>
    </row>
    <row r="480" spans="1:4" hidden="1" x14ac:dyDescent="0.25">
      <c r="A480" t="s">
        <v>237</v>
      </c>
      <c r="B480" t="s">
        <v>141</v>
      </c>
      <c r="C480" s="2">
        <f>HYPERLINK("https://sao.dolgi.msk.ru/account/1404102104/", 1404102104)</f>
        <v>1404102104</v>
      </c>
      <c r="D480">
        <v>-7136.47</v>
      </c>
    </row>
    <row r="481" spans="1:4" hidden="1" x14ac:dyDescent="0.25">
      <c r="A481" t="s">
        <v>237</v>
      </c>
      <c r="B481" t="s">
        <v>142</v>
      </c>
      <c r="C481" s="2">
        <f>HYPERLINK("https://sao.dolgi.msk.ru/account/1404102112/", 1404102112)</f>
        <v>1404102112</v>
      </c>
      <c r="D481">
        <v>-7240.95</v>
      </c>
    </row>
    <row r="482" spans="1:4" hidden="1" x14ac:dyDescent="0.25">
      <c r="A482" t="s">
        <v>237</v>
      </c>
      <c r="B482" t="s">
        <v>143</v>
      </c>
      <c r="C482" s="2">
        <f>HYPERLINK("https://sao.dolgi.msk.ru/account/1404102761/", 1404102761)</f>
        <v>1404102761</v>
      </c>
      <c r="D482">
        <v>0</v>
      </c>
    </row>
    <row r="483" spans="1:4" hidden="1" x14ac:dyDescent="0.25">
      <c r="A483" t="s">
        <v>237</v>
      </c>
      <c r="B483" t="s">
        <v>144</v>
      </c>
      <c r="C483" s="2">
        <f>HYPERLINK("https://sao.dolgi.msk.ru/account/1404102788/", 1404102788)</f>
        <v>1404102788</v>
      </c>
      <c r="D483">
        <v>-4791.42</v>
      </c>
    </row>
    <row r="484" spans="1:4" hidden="1" x14ac:dyDescent="0.25">
      <c r="A484" t="s">
        <v>237</v>
      </c>
      <c r="B484" t="s">
        <v>145</v>
      </c>
      <c r="C484" s="2">
        <f>HYPERLINK("https://sao.dolgi.msk.ru/account/1404101451/", 1404101451)</f>
        <v>1404101451</v>
      </c>
      <c r="D484">
        <v>-108.28</v>
      </c>
    </row>
    <row r="485" spans="1:4" hidden="1" x14ac:dyDescent="0.25">
      <c r="A485" t="s">
        <v>237</v>
      </c>
      <c r="B485" t="s">
        <v>146</v>
      </c>
      <c r="C485" s="2">
        <f>HYPERLINK("https://sao.dolgi.msk.ru/account/1404102796/", 1404102796)</f>
        <v>1404102796</v>
      </c>
      <c r="D485">
        <v>-2742.19</v>
      </c>
    </row>
    <row r="486" spans="1:4" hidden="1" x14ac:dyDescent="0.25">
      <c r="A486" t="s">
        <v>237</v>
      </c>
      <c r="B486" t="s">
        <v>147</v>
      </c>
      <c r="C486" s="2">
        <f>HYPERLINK("https://sao.dolgi.msk.ru/account/1404101072/", 1404101072)</f>
        <v>1404101072</v>
      </c>
      <c r="D486">
        <v>0</v>
      </c>
    </row>
    <row r="487" spans="1:4" hidden="1" x14ac:dyDescent="0.25">
      <c r="A487" t="s">
        <v>237</v>
      </c>
      <c r="B487" t="s">
        <v>148</v>
      </c>
      <c r="C487" s="2">
        <f>HYPERLINK("https://sao.dolgi.msk.ru/account/1404102139/", 1404102139)</f>
        <v>1404102139</v>
      </c>
      <c r="D487">
        <v>-3051.57</v>
      </c>
    </row>
    <row r="488" spans="1:4" hidden="1" x14ac:dyDescent="0.25">
      <c r="A488" t="s">
        <v>237</v>
      </c>
      <c r="B488" t="s">
        <v>149</v>
      </c>
      <c r="C488" s="2">
        <f>HYPERLINK("https://sao.dolgi.msk.ru/account/1404102147/", 1404102147)</f>
        <v>1404102147</v>
      </c>
      <c r="D488">
        <v>-3343</v>
      </c>
    </row>
    <row r="489" spans="1:4" hidden="1" x14ac:dyDescent="0.25">
      <c r="A489" t="s">
        <v>237</v>
      </c>
      <c r="B489" t="s">
        <v>150</v>
      </c>
      <c r="C489" s="2">
        <f>HYPERLINK("https://sao.dolgi.msk.ru/account/1404102809/", 1404102809)</f>
        <v>1404102809</v>
      </c>
      <c r="D489">
        <v>-6561.79</v>
      </c>
    </row>
    <row r="490" spans="1:4" hidden="1" x14ac:dyDescent="0.25">
      <c r="A490" t="s">
        <v>237</v>
      </c>
      <c r="B490" t="s">
        <v>151</v>
      </c>
      <c r="C490" s="2">
        <f>HYPERLINK("https://sao.dolgi.msk.ru/account/1404103123/", 1404103123)</f>
        <v>1404103123</v>
      </c>
      <c r="D490">
        <v>-7369.95</v>
      </c>
    </row>
    <row r="491" spans="1:4" hidden="1" x14ac:dyDescent="0.25">
      <c r="A491" t="s">
        <v>237</v>
      </c>
      <c r="B491" t="s">
        <v>152</v>
      </c>
      <c r="C491" s="2">
        <f>HYPERLINK("https://sao.dolgi.msk.ru/account/1404101478/", 1404101478)</f>
        <v>1404101478</v>
      </c>
      <c r="D491">
        <v>-5666.36</v>
      </c>
    </row>
    <row r="492" spans="1:4" hidden="1" x14ac:dyDescent="0.25">
      <c r="A492" t="s">
        <v>237</v>
      </c>
      <c r="B492" t="s">
        <v>153</v>
      </c>
      <c r="C492" s="2">
        <f>HYPERLINK("https://sao.dolgi.msk.ru/account/1404101814/", 1404101814)</f>
        <v>1404101814</v>
      </c>
      <c r="D492">
        <v>-3575.46</v>
      </c>
    </row>
    <row r="493" spans="1:4" hidden="1" x14ac:dyDescent="0.25">
      <c r="A493" t="s">
        <v>237</v>
      </c>
      <c r="B493" t="s">
        <v>154</v>
      </c>
      <c r="C493" s="2">
        <f>HYPERLINK("https://sao.dolgi.msk.ru/account/1404101494/", 1404101494)</f>
        <v>1404101494</v>
      </c>
      <c r="D493">
        <v>-5229.71</v>
      </c>
    </row>
    <row r="494" spans="1:4" hidden="1" x14ac:dyDescent="0.25">
      <c r="A494" t="s">
        <v>237</v>
      </c>
      <c r="B494" t="s">
        <v>155</v>
      </c>
      <c r="C494" s="2">
        <f>HYPERLINK("https://sao.dolgi.msk.ru/account/1404103449/", 1404103449)</f>
        <v>1404103449</v>
      </c>
      <c r="D494">
        <v>-3185.57</v>
      </c>
    </row>
    <row r="495" spans="1:4" hidden="1" x14ac:dyDescent="0.25">
      <c r="A495" t="s">
        <v>237</v>
      </c>
      <c r="B495" t="s">
        <v>156</v>
      </c>
      <c r="C495" s="2">
        <f>HYPERLINK("https://sao.dolgi.msk.ru/account/1404102411/", 1404102411)</f>
        <v>1404102411</v>
      </c>
      <c r="D495">
        <v>-4483.17</v>
      </c>
    </row>
    <row r="496" spans="1:4" hidden="1" x14ac:dyDescent="0.25">
      <c r="A496" t="s">
        <v>237</v>
      </c>
      <c r="B496" t="s">
        <v>157</v>
      </c>
      <c r="C496" s="2">
        <f>HYPERLINK("https://sao.dolgi.msk.ru/account/1404103131/", 1404103131)</f>
        <v>1404103131</v>
      </c>
      <c r="D496">
        <v>-2576.59</v>
      </c>
    </row>
    <row r="497" spans="1:4" hidden="1" x14ac:dyDescent="0.25">
      <c r="A497" t="s">
        <v>237</v>
      </c>
      <c r="B497" t="s">
        <v>158</v>
      </c>
      <c r="C497" s="2">
        <f>HYPERLINK("https://sao.dolgi.msk.ru/account/1404102817/", 1404102817)</f>
        <v>1404102817</v>
      </c>
      <c r="D497">
        <v>-7874.24</v>
      </c>
    </row>
    <row r="498" spans="1:4" hidden="1" x14ac:dyDescent="0.25">
      <c r="A498" t="s">
        <v>237</v>
      </c>
      <c r="B498" t="s">
        <v>159</v>
      </c>
      <c r="C498" s="2">
        <f>HYPERLINK("https://sao.dolgi.msk.ru/account/1404102155/", 1404102155)</f>
        <v>1404102155</v>
      </c>
      <c r="D498">
        <v>-4727.8999999999996</v>
      </c>
    </row>
    <row r="499" spans="1:4" hidden="1" x14ac:dyDescent="0.25">
      <c r="A499" t="s">
        <v>237</v>
      </c>
      <c r="B499" t="s">
        <v>160</v>
      </c>
      <c r="C499" s="2">
        <f>HYPERLINK("https://sao.dolgi.msk.ru/account/1404103457/", 1404103457)</f>
        <v>1404103457</v>
      </c>
      <c r="D499">
        <v>-5051.7299999999996</v>
      </c>
    </row>
    <row r="500" spans="1:4" hidden="1" x14ac:dyDescent="0.25">
      <c r="A500" t="s">
        <v>237</v>
      </c>
      <c r="B500" t="s">
        <v>161</v>
      </c>
      <c r="C500" s="2">
        <f>HYPERLINK("https://sao.dolgi.msk.ru/account/1404103158/", 1404103158)</f>
        <v>1404103158</v>
      </c>
      <c r="D500">
        <v>-5838.09</v>
      </c>
    </row>
    <row r="501" spans="1:4" hidden="1" x14ac:dyDescent="0.25">
      <c r="A501" t="s">
        <v>237</v>
      </c>
      <c r="B501" t="s">
        <v>162</v>
      </c>
      <c r="C501" s="2">
        <f>HYPERLINK("https://sao.dolgi.msk.ru/account/1404103465/", 1404103465)</f>
        <v>1404103465</v>
      </c>
      <c r="D501">
        <v>-4508.29</v>
      </c>
    </row>
    <row r="502" spans="1:4" x14ac:dyDescent="0.25">
      <c r="A502" t="s">
        <v>237</v>
      </c>
      <c r="B502" t="s">
        <v>163</v>
      </c>
      <c r="C502" s="2">
        <f>HYPERLINK("https://sao.dolgi.msk.ru/account/1404102163/", 1404102163)</f>
        <v>1404102163</v>
      </c>
      <c r="D502">
        <v>2959.45</v>
      </c>
    </row>
    <row r="503" spans="1:4" hidden="1" x14ac:dyDescent="0.25">
      <c r="A503" t="s">
        <v>237</v>
      </c>
      <c r="B503" t="s">
        <v>164</v>
      </c>
      <c r="C503" s="2">
        <f>HYPERLINK("https://sao.dolgi.msk.ru/account/1404103481/", 1404103481)</f>
        <v>1404103481</v>
      </c>
      <c r="D503">
        <v>-4752.95</v>
      </c>
    </row>
    <row r="504" spans="1:4" hidden="1" x14ac:dyDescent="0.25">
      <c r="A504" t="s">
        <v>237</v>
      </c>
      <c r="B504" t="s">
        <v>165</v>
      </c>
      <c r="C504" s="2">
        <f>HYPERLINK("https://sao.dolgi.msk.ru/account/1404102438/", 1404102438)</f>
        <v>1404102438</v>
      </c>
      <c r="D504">
        <v>-4281.1499999999996</v>
      </c>
    </row>
    <row r="505" spans="1:4" hidden="1" x14ac:dyDescent="0.25">
      <c r="A505" t="s">
        <v>237</v>
      </c>
      <c r="B505" t="s">
        <v>166</v>
      </c>
      <c r="C505" s="2">
        <f>HYPERLINK("https://sao.dolgi.msk.ru/account/1404102446/", 1404102446)</f>
        <v>1404102446</v>
      </c>
      <c r="D505">
        <v>-4929.8100000000004</v>
      </c>
    </row>
    <row r="506" spans="1:4" hidden="1" x14ac:dyDescent="0.25">
      <c r="A506" t="s">
        <v>237</v>
      </c>
      <c r="B506" t="s">
        <v>167</v>
      </c>
      <c r="C506" s="2">
        <f>HYPERLINK("https://sao.dolgi.msk.ru/account/1404102171/", 1404102171)</f>
        <v>1404102171</v>
      </c>
      <c r="D506">
        <v>-5468.58</v>
      </c>
    </row>
    <row r="507" spans="1:4" hidden="1" x14ac:dyDescent="0.25">
      <c r="A507" t="s">
        <v>237</v>
      </c>
      <c r="B507" t="s">
        <v>168</v>
      </c>
      <c r="C507" s="2">
        <f>HYPERLINK("https://sao.dolgi.msk.ru/account/1404102454/", 1404102454)</f>
        <v>1404102454</v>
      </c>
      <c r="D507">
        <v>-3040.96</v>
      </c>
    </row>
    <row r="508" spans="1:4" hidden="1" x14ac:dyDescent="0.25">
      <c r="A508" t="s">
        <v>237</v>
      </c>
      <c r="B508" t="s">
        <v>169</v>
      </c>
      <c r="C508" s="2">
        <f>HYPERLINK("https://sao.dolgi.msk.ru/account/1404102462/", 1404102462)</f>
        <v>1404102462</v>
      </c>
      <c r="D508">
        <v>-4406.18</v>
      </c>
    </row>
    <row r="509" spans="1:4" hidden="1" x14ac:dyDescent="0.25">
      <c r="A509" t="s">
        <v>237</v>
      </c>
      <c r="B509" t="s">
        <v>169</v>
      </c>
      <c r="C509" s="2">
        <f>HYPERLINK("https://sao.dolgi.msk.ru/account/1404103502/", 1404103502)</f>
        <v>1404103502</v>
      </c>
      <c r="D509">
        <v>-1609.55</v>
      </c>
    </row>
    <row r="510" spans="1:4" hidden="1" x14ac:dyDescent="0.25">
      <c r="A510" t="s">
        <v>237</v>
      </c>
      <c r="B510" t="s">
        <v>170</v>
      </c>
      <c r="C510" s="2">
        <f>HYPERLINK("https://sao.dolgi.msk.ru/account/1404101507/", 1404101507)</f>
        <v>1404101507</v>
      </c>
      <c r="D510">
        <v>0</v>
      </c>
    </row>
    <row r="511" spans="1:4" hidden="1" x14ac:dyDescent="0.25">
      <c r="A511" t="s">
        <v>237</v>
      </c>
      <c r="B511" t="s">
        <v>171</v>
      </c>
      <c r="C511" s="2">
        <f>HYPERLINK("https://sao.dolgi.msk.ru/account/1404101515/", 1404101515)</f>
        <v>1404101515</v>
      </c>
      <c r="D511">
        <v>-2318.77</v>
      </c>
    </row>
    <row r="512" spans="1:4" hidden="1" x14ac:dyDescent="0.25">
      <c r="A512" t="s">
        <v>237</v>
      </c>
      <c r="B512" t="s">
        <v>172</v>
      </c>
      <c r="C512" s="2">
        <f>HYPERLINK("https://sao.dolgi.msk.ru/account/1404102825/", 1404102825)</f>
        <v>1404102825</v>
      </c>
      <c r="D512">
        <v>0</v>
      </c>
    </row>
    <row r="513" spans="1:4" hidden="1" x14ac:dyDescent="0.25">
      <c r="A513" t="s">
        <v>237</v>
      </c>
      <c r="B513" t="s">
        <v>173</v>
      </c>
      <c r="C513" s="2">
        <f>HYPERLINK("https://sao.dolgi.msk.ru/account/1404102489/", 1404102489)</f>
        <v>1404102489</v>
      </c>
      <c r="D513">
        <v>-3171.83</v>
      </c>
    </row>
    <row r="514" spans="1:4" hidden="1" x14ac:dyDescent="0.25">
      <c r="A514" t="s">
        <v>237</v>
      </c>
      <c r="B514" t="s">
        <v>174</v>
      </c>
      <c r="C514" s="2">
        <f>HYPERLINK("https://sao.dolgi.msk.ru/account/1404101822/", 1404101822)</f>
        <v>1404101822</v>
      </c>
      <c r="D514">
        <v>-4334.25</v>
      </c>
    </row>
    <row r="515" spans="1:4" hidden="1" x14ac:dyDescent="0.25">
      <c r="A515" t="s">
        <v>237</v>
      </c>
      <c r="B515" t="s">
        <v>175</v>
      </c>
      <c r="C515" s="2">
        <f>HYPERLINK("https://sao.dolgi.msk.ru/account/1404103529/", 1404103529)</f>
        <v>1404103529</v>
      </c>
      <c r="D515">
        <v>-2288.12</v>
      </c>
    </row>
    <row r="516" spans="1:4" hidden="1" x14ac:dyDescent="0.25">
      <c r="A516" t="s">
        <v>237</v>
      </c>
      <c r="B516" t="s">
        <v>176</v>
      </c>
      <c r="C516" s="2">
        <f>HYPERLINK("https://sao.dolgi.msk.ru/account/1404101523/", 1404101523)</f>
        <v>1404101523</v>
      </c>
      <c r="D516">
        <v>-3595.73</v>
      </c>
    </row>
    <row r="517" spans="1:4" hidden="1" x14ac:dyDescent="0.25">
      <c r="A517" t="s">
        <v>237</v>
      </c>
      <c r="B517" t="s">
        <v>177</v>
      </c>
      <c r="C517" s="2">
        <f>HYPERLINK("https://sao.dolgi.msk.ru/account/1404101849/", 1404101849)</f>
        <v>1404101849</v>
      </c>
      <c r="D517">
        <v>-3595.06</v>
      </c>
    </row>
    <row r="518" spans="1:4" hidden="1" x14ac:dyDescent="0.25">
      <c r="A518" t="s">
        <v>237</v>
      </c>
      <c r="B518" t="s">
        <v>178</v>
      </c>
      <c r="C518" s="2">
        <f>HYPERLINK("https://sao.dolgi.msk.ru/account/1404103537/", 1404103537)</f>
        <v>1404103537</v>
      </c>
      <c r="D518">
        <v>-7815.61</v>
      </c>
    </row>
    <row r="519" spans="1:4" hidden="1" x14ac:dyDescent="0.25">
      <c r="A519" t="s">
        <v>237</v>
      </c>
      <c r="B519" t="s">
        <v>179</v>
      </c>
      <c r="C519" s="2">
        <f>HYPERLINK("https://sao.dolgi.msk.ru/account/1404103174/", 1404103174)</f>
        <v>1404103174</v>
      </c>
      <c r="D519">
        <v>-5895.75</v>
      </c>
    </row>
    <row r="520" spans="1:4" hidden="1" x14ac:dyDescent="0.25">
      <c r="A520" t="s">
        <v>237</v>
      </c>
      <c r="B520" t="s">
        <v>180</v>
      </c>
      <c r="C520" s="2">
        <f>HYPERLINK("https://sao.dolgi.msk.ru/account/1404103182/", 1404103182)</f>
        <v>1404103182</v>
      </c>
      <c r="D520">
        <v>-218.42</v>
      </c>
    </row>
    <row r="521" spans="1:4" hidden="1" x14ac:dyDescent="0.25">
      <c r="A521" t="s">
        <v>237</v>
      </c>
      <c r="B521" t="s">
        <v>181</v>
      </c>
      <c r="C521" s="2">
        <f>HYPERLINK("https://sao.dolgi.msk.ru/account/1404102198/", 1404102198)</f>
        <v>1404102198</v>
      </c>
      <c r="D521">
        <v>-5504.21</v>
      </c>
    </row>
    <row r="522" spans="1:4" x14ac:dyDescent="0.25">
      <c r="A522" t="s">
        <v>237</v>
      </c>
      <c r="B522" t="s">
        <v>182</v>
      </c>
      <c r="C522" s="2">
        <f>HYPERLINK("https://sao.dolgi.msk.ru/account/1404103545/", 1404103545)</f>
        <v>1404103545</v>
      </c>
      <c r="D522">
        <v>13408.83</v>
      </c>
    </row>
    <row r="523" spans="1:4" hidden="1" x14ac:dyDescent="0.25">
      <c r="A523" t="s">
        <v>237</v>
      </c>
      <c r="B523" t="s">
        <v>183</v>
      </c>
      <c r="C523" s="2">
        <f>HYPERLINK("https://sao.dolgi.msk.ru/account/1404102219/", 1404102219)</f>
        <v>1404102219</v>
      </c>
      <c r="D523">
        <v>0</v>
      </c>
    </row>
    <row r="524" spans="1:4" hidden="1" x14ac:dyDescent="0.25">
      <c r="A524" t="s">
        <v>237</v>
      </c>
      <c r="B524" t="s">
        <v>184</v>
      </c>
      <c r="C524" s="2">
        <f>HYPERLINK("https://sao.dolgi.msk.ru/account/1404101857/", 1404101857)</f>
        <v>1404101857</v>
      </c>
      <c r="D524">
        <v>0</v>
      </c>
    </row>
    <row r="525" spans="1:4" hidden="1" x14ac:dyDescent="0.25">
      <c r="A525" t="s">
        <v>237</v>
      </c>
      <c r="B525" t="s">
        <v>185</v>
      </c>
      <c r="C525" s="2">
        <f>HYPERLINK("https://sao.dolgi.msk.ru/account/1404102235/", 1404102235)</f>
        <v>1404102235</v>
      </c>
      <c r="D525">
        <v>-5308.05</v>
      </c>
    </row>
    <row r="526" spans="1:4" x14ac:dyDescent="0.25">
      <c r="A526" t="s">
        <v>237</v>
      </c>
      <c r="B526" t="s">
        <v>186</v>
      </c>
      <c r="C526" s="2">
        <f>HYPERLINK("https://sao.dolgi.msk.ru/account/1404102833/", 1404102833)</f>
        <v>1404102833</v>
      </c>
      <c r="D526">
        <v>4967.3999999999996</v>
      </c>
    </row>
    <row r="527" spans="1:4" hidden="1" x14ac:dyDescent="0.25">
      <c r="A527" t="s">
        <v>237</v>
      </c>
      <c r="B527" t="s">
        <v>187</v>
      </c>
      <c r="C527" s="2">
        <f>HYPERLINK("https://sao.dolgi.msk.ru/account/1404102497/", 1404102497)</f>
        <v>1404102497</v>
      </c>
      <c r="D527">
        <v>-9042.75</v>
      </c>
    </row>
    <row r="528" spans="1:4" hidden="1" x14ac:dyDescent="0.25">
      <c r="A528" t="s">
        <v>237</v>
      </c>
      <c r="B528" t="s">
        <v>188</v>
      </c>
      <c r="C528" s="2">
        <f>HYPERLINK("https://sao.dolgi.msk.ru/account/1404102243/", 1404102243)</f>
        <v>1404102243</v>
      </c>
      <c r="D528">
        <v>-4459.9799999999996</v>
      </c>
    </row>
    <row r="529" spans="1:4" hidden="1" x14ac:dyDescent="0.25">
      <c r="A529" t="s">
        <v>237</v>
      </c>
      <c r="B529" t="s">
        <v>189</v>
      </c>
      <c r="C529" s="2">
        <f>HYPERLINK("https://sao.dolgi.msk.ru/account/1404101099/", 1404101099)</f>
        <v>1404101099</v>
      </c>
      <c r="D529">
        <v>-34040.559999999998</v>
      </c>
    </row>
    <row r="530" spans="1:4" hidden="1" x14ac:dyDescent="0.25">
      <c r="A530" t="s">
        <v>237</v>
      </c>
      <c r="B530" t="s">
        <v>190</v>
      </c>
      <c r="C530" s="2">
        <f>HYPERLINK("https://sao.dolgi.msk.ru/account/1404101865/", 1404101865)</f>
        <v>1404101865</v>
      </c>
      <c r="D530">
        <v>-109.21</v>
      </c>
    </row>
    <row r="531" spans="1:4" hidden="1" x14ac:dyDescent="0.25">
      <c r="A531" t="s">
        <v>237</v>
      </c>
      <c r="B531" t="s">
        <v>191</v>
      </c>
      <c r="C531" s="2">
        <f>HYPERLINK("https://sao.dolgi.msk.ru/account/1404102841/", 1404102841)</f>
        <v>1404102841</v>
      </c>
      <c r="D531">
        <v>-4706.8</v>
      </c>
    </row>
    <row r="532" spans="1:4" hidden="1" x14ac:dyDescent="0.25">
      <c r="A532" t="s">
        <v>237</v>
      </c>
      <c r="B532" t="s">
        <v>192</v>
      </c>
      <c r="C532" s="2">
        <f>HYPERLINK("https://sao.dolgi.msk.ru/account/1404102868/", 1404102868)</f>
        <v>1404102868</v>
      </c>
      <c r="D532">
        <v>-5996.68</v>
      </c>
    </row>
    <row r="533" spans="1:4" hidden="1" x14ac:dyDescent="0.25">
      <c r="A533" t="s">
        <v>237</v>
      </c>
      <c r="B533" t="s">
        <v>193</v>
      </c>
      <c r="C533" s="2">
        <f>HYPERLINK("https://sao.dolgi.msk.ru/account/1404101531/", 1404101531)</f>
        <v>1404101531</v>
      </c>
      <c r="D533">
        <v>-4191.51</v>
      </c>
    </row>
    <row r="534" spans="1:4" x14ac:dyDescent="0.25">
      <c r="A534" t="s">
        <v>237</v>
      </c>
      <c r="B534" t="s">
        <v>194</v>
      </c>
      <c r="C534" s="2">
        <f>HYPERLINK("https://sao.dolgi.msk.ru/account/1404101742/", 1404101742)</f>
        <v>1404101742</v>
      </c>
      <c r="D534">
        <v>6174.09</v>
      </c>
    </row>
    <row r="535" spans="1:4" hidden="1" x14ac:dyDescent="0.25">
      <c r="A535" t="s">
        <v>237</v>
      </c>
      <c r="B535" t="s">
        <v>195</v>
      </c>
      <c r="C535" s="2">
        <f>HYPERLINK("https://sao.dolgi.msk.ru/account/1404101566/", 1404101566)</f>
        <v>1404101566</v>
      </c>
      <c r="D535">
        <v>-887.99</v>
      </c>
    </row>
    <row r="536" spans="1:4" hidden="1" x14ac:dyDescent="0.25">
      <c r="A536" t="s">
        <v>237</v>
      </c>
      <c r="B536" t="s">
        <v>196</v>
      </c>
      <c r="C536" s="2">
        <f>HYPERLINK("https://sao.dolgi.msk.ru/account/1404102876/", 1404102876)</f>
        <v>1404102876</v>
      </c>
      <c r="D536">
        <v>-5457.83</v>
      </c>
    </row>
    <row r="537" spans="1:4" hidden="1" x14ac:dyDescent="0.25">
      <c r="A537" t="s">
        <v>237</v>
      </c>
      <c r="B537" t="s">
        <v>197</v>
      </c>
      <c r="C537" s="2">
        <f>HYPERLINK("https://sao.dolgi.msk.ru/account/1404103203/", 1404103203)</f>
        <v>1404103203</v>
      </c>
      <c r="D537">
        <v>-3011.02</v>
      </c>
    </row>
    <row r="538" spans="1:4" hidden="1" x14ac:dyDescent="0.25">
      <c r="A538" t="s">
        <v>237</v>
      </c>
      <c r="B538" t="s">
        <v>198</v>
      </c>
      <c r="C538" s="2">
        <f>HYPERLINK("https://sao.dolgi.msk.ru/account/1404103553/", 1404103553)</f>
        <v>1404103553</v>
      </c>
      <c r="D538">
        <v>-4714.62</v>
      </c>
    </row>
    <row r="539" spans="1:4" hidden="1" x14ac:dyDescent="0.25">
      <c r="A539" t="s">
        <v>237</v>
      </c>
      <c r="B539" t="s">
        <v>199</v>
      </c>
      <c r="C539" s="2">
        <f>HYPERLINK("https://sao.dolgi.msk.ru/account/1404102278/", 1404102278)</f>
        <v>1404102278</v>
      </c>
      <c r="D539">
        <v>0</v>
      </c>
    </row>
    <row r="540" spans="1:4" hidden="1" x14ac:dyDescent="0.25">
      <c r="A540" t="s">
        <v>237</v>
      </c>
      <c r="B540" t="s">
        <v>200</v>
      </c>
      <c r="C540" s="2">
        <f>HYPERLINK("https://sao.dolgi.msk.ru/account/1404103561/", 1404103561)</f>
        <v>1404103561</v>
      </c>
      <c r="D540">
        <v>-3988.53</v>
      </c>
    </row>
    <row r="541" spans="1:4" hidden="1" x14ac:dyDescent="0.25">
      <c r="A541" t="s">
        <v>237</v>
      </c>
      <c r="B541" t="s">
        <v>201</v>
      </c>
      <c r="C541" s="2">
        <f>HYPERLINK("https://sao.dolgi.msk.ru/account/1404102518/", 1404102518)</f>
        <v>1404102518</v>
      </c>
      <c r="D541">
        <v>-2397.88</v>
      </c>
    </row>
    <row r="542" spans="1:4" hidden="1" x14ac:dyDescent="0.25">
      <c r="A542" t="s">
        <v>237</v>
      </c>
      <c r="B542" t="s">
        <v>202</v>
      </c>
      <c r="C542" s="2">
        <f>HYPERLINK("https://sao.dolgi.msk.ru/account/1404103588/", 1404103588)</f>
        <v>1404103588</v>
      </c>
      <c r="D542">
        <v>0</v>
      </c>
    </row>
    <row r="543" spans="1:4" hidden="1" x14ac:dyDescent="0.25">
      <c r="A543" t="s">
        <v>237</v>
      </c>
      <c r="B543" t="s">
        <v>203</v>
      </c>
      <c r="C543" s="2">
        <f>HYPERLINK("https://sao.dolgi.msk.ru/account/1404102374/", 1404102374)</f>
        <v>1404102374</v>
      </c>
      <c r="D543">
        <v>-469.12</v>
      </c>
    </row>
    <row r="544" spans="1:4" hidden="1" x14ac:dyDescent="0.25">
      <c r="A544" t="s">
        <v>237</v>
      </c>
      <c r="B544" t="s">
        <v>204</v>
      </c>
      <c r="C544" s="2">
        <f>HYPERLINK("https://sao.dolgi.msk.ru/account/1404102892/", 1404102892)</f>
        <v>1404102892</v>
      </c>
      <c r="D544">
        <v>-7793.13</v>
      </c>
    </row>
    <row r="545" spans="1:4" hidden="1" x14ac:dyDescent="0.25">
      <c r="A545" t="s">
        <v>237</v>
      </c>
      <c r="B545" t="s">
        <v>205</v>
      </c>
      <c r="C545" s="2">
        <f>HYPERLINK("https://sao.dolgi.msk.ru/account/1404103211/", 1404103211)</f>
        <v>1404103211</v>
      </c>
      <c r="D545">
        <v>0</v>
      </c>
    </row>
    <row r="546" spans="1:4" hidden="1" x14ac:dyDescent="0.25">
      <c r="A546" t="s">
        <v>237</v>
      </c>
      <c r="B546" t="s">
        <v>206</v>
      </c>
      <c r="C546" s="2">
        <f>HYPERLINK("https://sao.dolgi.msk.ru/account/1404101873/", 1404101873)</f>
        <v>1404101873</v>
      </c>
      <c r="D546">
        <v>-5298.13</v>
      </c>
    </row>
    <row r="547" spans="1:4" hidden="1" x14ac:dyDescent="0.25">
      <c r="A547" t="s">
        <v>237</v>
      </c>
      <c r="B547" t="s">
        <v>207</v>
      </c>
      <c r="C547" s="2">
        <f>HYPERLINK("https://sao.dolgi.msk.ru/account/1404102905/", 1404102905)</f>
        <v>1404102905</v>
      </c>
      <c r="D547">
        <v>-7559.18</v>
      </c>
    </row>
    <row r="548" spans="1:4" hidden="1" x14ac:dyDescent="0.25">
      <c r="A548" t="s">
        <v>237</v>
      </c>
      <c r="B548" t="s">
        <v>208</v>
      </c>
      <c r="C548" s="2">
        <f>HYPERLINK("https://sao.dolgi.msk.ru/account/1404103238/", 1404103238)</f>
        <v>1404103238</v>
      </c>
      <c r="D548">
        <v>-117.96</v>
      </c>
    </row>
    <row r="549" spans="1:4" hidden="1" x14ac:dyDescent="0.25">
      <c r="A549" t="s">
        <v>237</v>
      </c>
      <c r="B549" t="s">
        <v>209</v>
      </c>
      <c r="C549" s="2">
        <f>HYPERLINK("https://sao.dolgi.msk.ru/account/1404102913/", 1404102913)</f>
        <v>1404102913</v>
      </c>
      <c r="D549">
        <v>-55.54</v>
      </c>
    </row>
    <row r="550" spans="1:4" hidden="1" x14ac:dyDescent="0.25">
      <c r="A550" t="s">
        <v>237</v>
      </c>
      <c r="B550" t="s">
        <v>210</v>
      </c>
      <c r="C550" s="2">
        <f>HYPERLINK("https://sao.dolgi.msk.ru/account/1404101574/", 1404101574)</f>
        <v>1404101574</v>
      </c>
      <c r="D550">
        <v>0</v>
      </c>
    </row>
    <row r="551" spans="1:4" hidden="1" x14ac:dyDescent="0.25">
      <c r="A551" t="s">
        <v>237</v>
      </c>
      <c r="B551" t="s">
        <v>211</v>
      </c>
      <c r="C551" s="2">
        <f>HYPERLINK("https://sao.dolgi.msk.ru/account/1404103246/", 1404103246)</f>
        <v>1404103246</v>
      </c>
      <c r="D551">
        <v>-4251.79</v>
      </c>
    </row>
    <row r="552" spans="1:4" hidden="1" x14ac:dyDescent="0.25">
      <c r="A552" t="s">
        <v>237</v>
      </c>
      <c r="B552" t="s">
        <v>212</v>
      </c>
      <c r="C552" s="2">
        <f>HYPERLINK("https://sao.dolgi.msk.ru/account/1404101101/", 1404101101)</f>
        <v>1404101101</v>
      </c>
      <c r="D552">
        <v>-3975.83</v>
      </c>
    </row>
    <row r="553" spans="1:4" hidden="1" x14ac:dyDescent="0.25">
      <c r="A553" t="s">
        <v>237</v>
      </c>
      <c r="B553" t="s">
        <v>213</v>
      </c>
      <c r="C553" s="2">
        <f>HYPERLINK("https://sao.dolgi.msk.ru/account/1404101582/", 1404101582)</f>
        <v>1404101582</v>
      </c>
      <c r="D553">
        <v>-6369.92</v>
      </c>
    </row>
    <row r="554" spans="1:4" hidden="1" x14ac:dyDescent="0.25">
      <c r="A554" t="s">
        <v>237</v>
      </c>
      <c r="B554" t="s">
        <v>214</v>
      </c>
      <c r="C554" s="2">
        <f>HYPERLINK("https://sao.dolgi.msk.ru/account/1404103617/", 1404103617)</f>
        <v>1404103617</v>
      </c>
      <c r="D554">
        <v>-2384.6999999999998</v>
      </c>
    </row>
    <row r="555" spans="1:4" hidden="1" x14ac:dyDescent="0.25">
      <c r="A555" t="s">
        <v>237</v>
      </c>
      <c r="B555" t="s">
        <v>215</v>
      </c>
      <c r="C555" s="2">
        <f>HYPERLINK("https://sao.dolgi.msk.ru/account/1404103254/", 1404103254)</f>
        <v>1404103254</v>
      </c>
      <c r="D555">
        <v>-5850.2</v>
      </c>
    </row>
    <row r="556" spans="1:4" x14ac:dyDescent="0.25">
      <c r="A556" t="s">
        <v>237</v>
      </c>
      <c r="B556" t="s">
        <v>216</v>
      </c>
      <c r="C556" s="2">
        <f>HYPERLINK("https://sao.dolgi.msk.ru/account/1404102921/", 1404102921)</f>
        <v>1404102921</v>
      </c>
      <c r="D556">
        <v>156676.32</v>
      </c>
    </row>
    <row r="557" spans="1:4" hidden="1" x14ac:dyDescent="0.25">
      <c r="A557" t="s">
        <v>237</v>
      </c>
      <c r="B557" t="s">
        <v>217</v>
      </c>
      <c r="C557" s="2">
        <f>HYPERLINK("https://sao.dolgi.msk.ru/account/1404101128/", 1404101128)</f>
        <v>1404101128</v>
      </c>
      <c r="D557">
        <v>-4900.08</v>
      </c>
    </row>
    <row r="558" spans="1:4" hidden="1" x14ac:dyDescent="0.25">
      <c r="A558" t="s">
        <v>237</v>
      </c>
      <c r="B558" t="s">
        <v>218</v>
      </c>
      <c r="C558" s="2">
        <f>HYPERLINK("https://sao.dolgi.msk.ru/account/1404101136/", 1404101136)</f>
        <v>1404101136</v>
      </c>
      <c r="D558">
        <v>-10695.4</v>
      </c>
    </row>
    <row r="559" spans="1:4" hidden="1" x14ac:dyDescent="0.25">
      <c r="A559" t="s">
        <v>238</v>
      </c>
      <c r="B559" t="s">
        <v>219</v>
      </c>
      <c r="C559" s="2">
        <f>HYPERLINK("https://sao.dolgi.msk.ru/account/1404103844/", 1404103844)</f>
        <v>1404103844</v>
      </c>
      <c r="D559">
        <v>-3950.93</v>
      </c>
    </row>
    <row r="560" spans="1:4" hidden="1" x14ac:dyDescent="0.25">
      <c r="A560" t="s">
        <v>238</v>
      </c>
      <c r="B560" t="s">
        <v>220</v>
      </c>
      <c r="C560" s="2">
        <f>HYPERLINK("https://sao.dolgi.msk.ru/account/1404104249/", 1404104249)</f>
        <v>1404104249</v>
      </c>
      <c r="D560">
        <v>-333.56</v>
      </c>
    </row>
    <row r="561" spans="1:4" hidden="1" x14ac:dyDescent="0.25">
      <c r="A561" t="s">
        <v>238</v>
      </c>
      <c r="B561" t="s">
        <v>221</v>
      </c>
      <c r="C561" s="2">
        <f>HYPERLINK("https://sao.dolgi.msk.ru/account/1404104257/", 1404104257)</f>
        <v>1404104257</v>
      </c>
      <c r="D561">
        <v>-8357.9599999999991</v>
      </c>
    </row>
    <row r="562" spans="1:4" hidden="1" x14ac:dyDescent="0.25">
      <c r="A562" t="s">
        <v>238</v>
      </c>
      <c r="B562" t="s">
        <v>222</v>
      </c>
      <c r="C562" s="2">
        <f>HYPERLINK("https://sao.dolgi.msk.ru/account/1404103713/", 1404103713)</f>
        <v>1404103713</v>
      </c>
      <c r="D562">
        <v>-5383.27</v>
      </c>
    </row>
    <row r="563" spans="1:4" hidden="1" x14ac:dyDescent="0.25">
      <c r="A563" t="s">
        <v>238</v>
      </c>
      <c r="B563" t="s">
        <v>223</v>
      </c>
      <c r="C563" s="2">
        <f>HYPERLINK("https://sao.dolgi.msk.ru/account/1404104118/", 1404104118)</f>
        <v>1404104118</v>
      </c>
      <c r="D563">
        <v>-4242.4799999999996</v>
      </c>
    </row>
    <row r="564" spans="1:4" x14ac:dyDescent="0.25">
      <c r="A564" t="s">
        <v>238</v>
      </c>
      <c r="B564" t="s">
        <v>224</v>
      </c>
      <c r="C564" s="2">
        <f>HYPERLINK("https://sao.dolgi.msk.ru/account/1404104492/", 1404104492)</f>
        <v>1404104492</v>
      </c>
      <c r="D564">
        <v>4492.66</v>
      </c>
    </row>
    <row r="565" spans="1:4" x14ac:dyDescent="0.25">
      <c r="A565" t="s">
        <v>238</v>
      </c>
      <c r="B565" t="s">
        <v>225</v>
      </c>
      <c r="C565" s="2">
        <f>HYPERLINK("https://sao.dolgi.msk.ru/account/1404104126/", 1404104126)</f>
        <v>1404104126</v>
      </c>
      <c r="D565">
        <v>3837.9</v>
      </c>
    </row>
    <row r="566" spans="1:4" hidden="1" x14ac:dyDescent="0.25">
      <c r="A566" t="s">
        <v>238</v>
      </c>
      <c r="B566" t="s">
        <v>226</v>
      </c>
      <c r="C566" s="2">
        <f>HYPERLINK("https://sao.dolgi.msk.ru/account/1404104628/", 1404104628)</f>
        <v>1404104628</v>
      </c>
      <c r="D566">
        <v>-6254.32</v>
      </c>
    </row>
    <row r="567" spans="1:4" x14ac:dyDescent="0.25">
      <c r="A567" t="s">
        <v>238</v>
      </c>
      <c r="B567" t="s">
        <v>227</v>
      </c>
      <c r="C567" s="2">
        <f>HYPERLINK("https://sao.dolgi.msk.ru/account/1404103991/", 1404103991)</f>
        <v>1404103991</v>
      </c>
      <c r="D567">
        <v>12513.94</v>
      </c>
    </row>
    <row r="568" spans="1:4" hidden="1" x14ac:dyDescent="0.25">
      <c r="A568" t="s">
        <v>238</v>
      </c>
      <c r="B568" t="s">
        <v>228</v>
      </c>
      <c r="C568" s="2">
        <f>HYPERLINK("https://sao.dolgi.msk.ru/account/1404103852/", 1404103852)</f>
        <v>1404103852</v>
      </c>
      <c r="D568">
        <v>-242.45</v>
      </c>
    </row>
    <row r="569" spans="1:4" hidden="1" x14ac:dyDescent="0.25">
      <c r="A569" t="s">
        <v>238</v>
      </c>
      <c r="B569" t="s">
        <v>229</v>
      </c>
      <c r="C569" s="2">
        <f>HYPERLINK("https://sao.dolgi.msk.ru/account/1404104003/", 1404104003)</f>
        <v>1404104003</v>
      </c>
      <c r="D569">
        <v>0</v>
      </c>
    </row>
    <row r="570" spans="1:4" hidden="1" x14ac:dyDescent="0.25">
      <c r="A570" t="s">
        <v>238</v>
      </c>
      <c r="B570" t="s">
        <v>230</v>
      </c>
      <c r="C570" s="2">
        <f>HYPERLINK("https://sao.dolgi.msk.ru/account/1404104134/", 1404104134)</f>
        <v>1404104134</v>
      </c>
      <c r="D570">
        <v>0</v>
      </c>
    </row>
    <row r="571" spans="1:4" hidden="1" x14ac:dyDescent="0.25">
      <c r="A571" t="s">
        <v>238</v>
      </c>
      <c r="B571" t="s">
        <v>231</v>
      </c>
      <c r="C571" s="2">
        <f>HYPERLINK("https://sao.dolgi.msk.ru/account/1404104804/", 1404104804)</f>
        <v>1404104804</v>
      </c>
      <c r="D571">
        <v>-4416.5600000000004</v>
      </c>
    </row>
    <row r="572" spans="1:4" x14ac:dyDescent="0.25">
      <c r="A572" t="s">
        <v>238</v>
      </c>
      <c r="B572" t="s">
        <v>232</v>
      </c>
      <c r="C572" s="2">
        <f>HYPERLINK("https://sao.dolgi.msk.ru/account/1404104505/", 1404104505)</f>
        <v>1404104505</v>
      </c>
      <c r="D572">
        <v>5427.3</v>
      </c>
    </row>
    <row r="573" spans="1:4" hidden="1" x14ac:dyDescent="0.25">
      <c r="A573" t="s">
        <v>238</v>
      </c>
      <c r="B573" t="s">
        <v>233</v>
      </c>
      <c r="C573" s="2">
        <f>HYPERLINK("https://sao.dolgi.msk.ru/account/1404103721/", 1404103721)</f>
        <v>1404103721</v>
      </c>
      <c r="D573">
        <v>-3938.32</v>
      </c>
    </row>
    <row r="574" spans="1:4" hidden="1" x14ac:dyDescent="0.25">
      <c r="A574" t="s">
        <v>238</v>
      </c>
      <c r="B574" t="s">
        <v>234</v>
      </c>
      <c r="C574" s="2">
        <f>HYPERLINK("https://sao.dolgi.msk.ru/account/1404103748/", 1404103748)</f>
        <v>1404103748</v>
      </c>
      <c r="D574">
        <v>-4695.26</v>
      </c>
    </row>
    <row r="575" spans="1:4" hidden="1" x14ac:dyDescent="0.25">
      <c r="A575" t="s">
        <v>238</v>
      </c>
      <c r="B575" t="s">
        <v>234</v>
      </c>
      <c r="C575" s="2">
        <f>HYPERLINK("https://sao.dolgi.msk.ru/account/1404294011/", 1404294011)</f>
        <v>1404294011</v>
      </c>
      <c r="D575">
        <v>-3441.4</v>
      </c>
    </row>
    <row r="576" spans="1:4" hidden="1" x14ac:dyDescent="0.25">
      <c r="A576" t="s">
        <v>238</v>
      </c>
      <c r="B576" t="s">
        <v>235</v>
      </c>
      <c r="C576" s="2">
        <f>HYPERLINK("https://sao.dolgi.msk.ru/account/1404104636/", 1404104636)</f>
        <v>1404104636</v>
      </c>
      <c r="D576">
        <v>-495.36</v>
      </c>
    </row>
    <row r="577" spans="1:4" hidden="1" x14ac:dyDescent="0.25">
      <c r="A577" t="s">
        <v>238</v>
      </c>
      <c r="B577" t="s">
        <v>239</v>
      </c>
      <c r="C577" s="2">
        <f>HYPERLINK("https://sao.dolgi.msk.ru/account/1404104265/", 1404104265)</f>
        <v>1404104265</v>
      </c>
      <c r="D577">
        <v>-315.57</v>
      </c>
    </row>
    <row r="578" spans="1:4" hidden="1" x14ac:dyDescent="0.25">
      <c r="A578" t="s">
        <v>238</v>
      </c>
      <c r="B578" t="s">
        <v>240</v>
      </c>
      <c r="C578" s="2">
        <f>HYPERLINK("https://sao.dolgi.msk.ru/account/1404104011/", 1404104011)</f>
        <v>1404104011</v>
      </c>
      <c r="D578">
        <v>0</v>
      </c>
    </row>
    <row r="579" spans="1:4" hidden="1" x14ac:dyDescent="0.25">
      <c r="A579" t="s">
        <v>238</v>
      </c>
      <c r="B579" t="s">
        <v>241</v>
      </c>
      <c r="C579" s="2">
        <f>HYPERLINK("https://sao.dolgi.msk.ru/account/1404104513/", 1404104513)</f>
        <v>1404104513</v>
      </c>
      <c r="D579">
        <v>-4356.33</v>
      </c>
    </row>
    <row r="580" spans="1:4" hidden="1" x14ac:dyDescent="0.25">
      <c r="A580" t="s">
        <v>238</v>
      </c>
      <c r="B580" t="s">
        <v>242</v>
      </c>
      <c r="C580" s="2">
        <f>HYPERLINK("https://sao.dolgi.msk.ru/account/1404104273/", 1404104273)</f>
        <v>1404104273</v>
      </c>
      <c r="D580">
        <v>-6185.38</v>
      </c>
    </row>
    <row r="581" spans="1:4" hidden="1" x14ac:dyDescent="0.25">
      <c r="A581" t="s">
        <v>238</v>
      </c>
      <c r="B581" t="s">
        <v>243</v>
      </c>
      <c r="C581" s="2">
        <f>HYPERLINK("https://sao.dolgi.msk.ru/account/1404104281/", 1404104281)</f>
        <v>1404104281</v>
      </c>
      <c r="D581">
        <v>-5290.27</v>
      </c>
    </row>
    <row r="582" spans="1:4" hidden="1" x14ac:dyDescent="0.25">
      <c r="A582" t="s">
        <v>238</v>
      </c>
      <c r="B582" t="s">
        <v>244</v>
      </c>
      <c r="C582" s="2">
        <f>HYPERLINK("https://sao.dolgi.msk.ru/account/1404104142/", 1404104142)</f>
        <v>1404104142</v>
      </c>
      <c r="D582">
        <v>-10939.66</v>
      </c>
    </row>
    <row r="583" spans="1:4" x14ac:dyDescent="0.25">
      <c r="A583" t="s">
        <v>238</v>
      </c>
      <c r="B583" t="s">
        <v>244</v>
      </c>
      <c r="C583" s="2">
        <f>HYPERLINK("https://sao.dolgi.msk.ru/account/1404104302/", 1404104302)</f>
        <v>1404104302</v>
      </c>
      <c r="D583">
        <v>1602.7</v>
      </c>
    </row>
    <row r="584" spans="1:4" hidden="1" x14ac:dyDescent="0.25">
      <c r="A584" t="s">
        <v>238</v>
      </c>
      <c r="B584" t="s">
        <v>245</v>
      </c>
      <c r="C584" s="2">
        <f>HYPERLINK("https://sao.dolgi.msk.ru/account/1404104644/", 1404104644)</f>
        <v>1404104644</v>
      </c>
      <c r="D584">
        <v>-3495.99</v>
      </c>
    </row>
    <row r="585" spans="1:4" hidden="1" x14ac:dyDescent="0.25">
      <c r="A585" t="s">
        <v>238</v>
      </c>
      <c r="B585" t="s">
        <v>246</v>
      </c>
      <c r="C585" s="2">
        <f>HYPERLINK("https://sao.dolgi.msk.ru/account/1404104652/", 1404104652)</f>
        <v>1404104652</v>
      </c>
      <c r="D585">
        <v>-11017.99</v>
      </c>
    </row>
    <row r="586" spans="1:4" hidden="1" x14ac:dyDescent="0.25">
      <c r="A586" t="s">
        <v>238</v>
      </c>
      <c r="B586" t="s">
        <v>247</v>
      </c>
      <c r="C586" s="2">
        <f>HYPERLINK("https://sao.dolgi.msk.ru/account/1404104679/", 1404104679)</f>
        <v>1404104679</v>
      </c>
      <c r="D586">
        <v>-5017.43</v>
      </c>
    </row>
    <row r="587" spans="1:4" hidden="1" x14ac:dyDescent="0.25">
      <c r="A587" t="s">
        <v>238</v>
      </c>
      <c r="B587" t="s">
        <v>248</v>
      </c>
      <c r="C587" s="2">
        <f>HYPERLINK("https://sao.dolgi.msk.ru/account/1404103836/", 1404103836)</f>
        <v>1404103836</v>
      </c>
      <c r="D587">
        <v>-3955.06</v>
      </c>
    </row>
    <row r="588" spans="1:4" hidden="1" x14ac:dyDescent="0.25">
      <c r="A588" t="s">
        <v>238</v>
      </c>
      <c r="B588" t="s">
        <v>249</v>
      </c>
      <c r="C588" s="2">
        <f>HYPERLINK("https://sao.dolgi.msk.ru/account/1404104329/", 1404104329)</f>
        <v>1404104329</v>
      </c>
      <c r="D588">
        <v>-105.02</v>
      </c>
    </row>
    <row r="589" spans="1:4" hidden="1" x14ac:dyDescent="0.25">
      <c r="A589" t="s">
        <v>238</v>
      </c>
      <c r="B589" t="s">
        <v>250</v>
      </c>
      <c r="C589" s="2">
        <f>HYPERLINK("https://sao.dolgi.msk.ru/account/1404103756/", 1404103756)</f>
        <v>1404103756</v>
      </c>
      <c r="D589">
        <v>0</v>
      </c>
    </row>
    <row r="590" spans="1:4" hidden="1" x14ac:dyDescent="0.25">
      <c r="A590" t="s">
        <v>238</v>
      </c>
      <c r="B590" t="s">
        <v>251</v>
      </c>
      <c r="C590" s="2">
        <f>HYPERLINK("https://sao.dolgi.msk.ru/account/1404103879/", 1404103879)</f>
        <v>1404103879</v>
      </c>
      <c r="D590">
        <v>0</v>
      </c>
    </row>
    <row r="591" spans="1:4" hidden="1" x14ac:dyDescent="0.25">
      <c r="A591" t="s">
        <v>238</v>
      </c>
      <c r="B591" t="s">
        <v>252</v>
      </c>
      <c r="C591" s="2">
        <f>HYPERLINK("https://sao.dolgi.msk.ru/account/1404104687/", 1404104687)</f>
        <v>1404104687</v>
      </c>
      <c r="D591">
        <v>-5960.52</v>
      </c>
    </row>
    <row r="592" spans="1:4" hidden="1" x14ac:dyDescent="0.25">
      <c r="A592" t="s">
        <v>238</v>
      </c>
      <c r="B592" t="s">
        <v>253</v>
      </c>
      <c r="C592" s="2">
        <f>HYPERLINK("https://sao.dolgi.msk.ru/account/1404104169/", 1404104169)</f>
        <v>1404104169</v>
      </c>
      <c r="D592">
        <v>-2726.42</v>
      </c>
    </row>
    <row r="593" spans="1:4" hidden="1" x14ac:dyDescent="0.25">
      <c r="A593" t="s">
        <v>238</v>
      </c>
      <c r="B593" t="s">
        <v>253</v>
      </c>
      <c r="C593" s="2">
        <f>HYPERLINK("https://sao.dolgi.msk.ru/account/1404104484/", 1404104484)</f>
        <v>1404104484</v>
      </c>
      <c r="D593">
        <v>-1587.48</v>
      </c>
    </row>
    <row r="594" spans="1:4" hidden="1" x14ac:dyDescent="0.25">
      <c r="A594" t="s">
        <v>238</v>
      </c>
      <c r="B594" t="s">
        <v>254</v>
      </c>
      <c r="C594" s="2">
        <f>HYPERLINK("https://sao.dolgi.msk.ru/account/1404104812/", 1404104812)</f>
        <v>1404104812</v>
      </c>
      <c r="D594">
        <v>-5787.01</v>
      </c>
    </row>
    <row r="595" spans="1:4" hidden="1" x14ac:dyDescent="0.25">
      <c r="A595" t="s">
        <v>238</v>
      </c>
      <c r="B595" t="s">
        <v>255</v>
      </c>
      <c r="C595" s="2">
        <f>HYPERLINK("https://sao.dolgi.msk.ru/account/1404104337/", 1404104337)</f>
        <v>1404104337</v>
      </c>
      <c r="D595">
        <v>-637.55999999999995</v>
      </c>
    </row>
    <row r="596" spans="1:4" hidden="1" x14ac:dyDescent="0.25">
      <c r="A596" t="s">
        <v>238</v>
      </c>
      <c r="B596" t="s">
        <v>256</v>
      </c>
      <c r="C596" s="2">
        <f>HYPERLINK("https://sao.dolgi.msk.ru/account/1404104345/", 1404104345)</f>
        <v>1404104345</v>
      </c>
      <c r="D596">
        <v>-3820.34</v>
      </c>
    </row>
    <row r="597" spans="1:4" hidden="1" x14ac:dyDescent="0.25">
      <c r="A597" t="s">
        <v>238</v>
      </c>
      <c r="B597" t="s">
        <v>257</v>
      </c>
      <c r="C597" s="2">
        <f>HYPERLINK("https://sao.dolgi.msk.ru/account/1404104353/", 1404104353)</f>
        <v>1404104353</v>
      </c>
      <c r="D597">
        <v>-2483.9499999999998</v>
      </c>
    </row>
    <row r="598" spans="1:4" hidden="1" x14ac:dyDescent="0.25">
      <c r="A598" t="s">
        <v>238</v>
      </c>
      <c r="B598" t="s">
        <v>258</v>
      </c>
      <c r="C598" s="2">
        <f>HYPERLINK("https://sao.dolgi.msk.ru/account/1404104177/", 1404104177)</f>
        <v>1404104177</v>
      </c>
      <c r="D598">
        <v>-9386.86</v>
      </c>
    </row>
    <row r="599" spans="1:4" hidden="1" x14ac:dyDescent="0.25">
      <c r="A599" t="s">
        <v>238</v>
      </c>
      <c r="B599" t="s">
        <v>259</v>
      </c>
      <c r="C599" s="2">
        <f>HYPERLINK("https://sao.dolgi.msk.ru/account/1404103887/", 1404103887)</f>
        <v>1404103887</v>
      </c>
      <c r="D599">
        <v>-326.72000000000003</v>
      </c>
    </row>
    <row r="600" spans="1:4" hidden="1" x14ac:dyDescent="0.25">
      <c r="A600" t="s">
        <v>238</v>
      </c>
      <c r="B600" t="s">
        <v>260</v>
      </c>
      <c r="C600" s="2">
        <f>HYPERLINK("https://sao.dolgi.msk.ru/account/1404104185/", 1404104185)</f>
        <v>1404104185</v>
      </c>
      <c r="D600">
        <v>0</v>
      </c>
    </row>
    <row r="601" spans="1:4" hidden="1" x14ac:dyDescent="0.25">
      <c r="A601" t="s">
        <v>238</v>
      </c>
      <c r="B601" t="s">
        <v>260</v>
      </c>
      <c r="C601" s="2">
        <f>HYPERLINK("https://sao.dolgi.msk.ru/account/1404104361/", 1404104361)</f>
        <v>1404104361</v>
      </c>
      <c r="D601">
        <v>0</v>
      </c>
    </row>
    <row r="602" spans="1:4" hidden="1" x14ac:dyDescent="0.25">
      <c r="A602" t="s">
        <v>238</v>
      </c>
      <c r="B602" t="s">
        <v>261</v>
      </c>
      <c r="C602" s="2">
        <f>HYPERLINK("https://sao.dolgi.msk.ru/account/1404103895/", 1404103895)</f>
        <v>1404103895</v>
      </c>
      <c r="D602">
        <v>-9697.09</v>
      </c>
    </row>
    <row r="603" spans="1:4" x14ac:dyDescent="0.25">
      <c r="A603" t="s">
        <v>238</v>
      </c>
      <c r="B603" t="s">
        <v>262</v>
      </c>
      <c r="C603" s="2">
        <f>HYPERLINK("https://sao.dolgi.msk.ru/account/1404104521/", 1404104521)</f>
        <v>1404104521</v>
      </c>
      <c r="D603">
        <v>18656.46</v>
      </c>
    </row>
    <row r="604" spans="1:4" hidden="1" x14ac:dyDescent="0.25">
      <c r="A604" t="s">
        <v>238</v>
      </c>
      <c r="B604" t="s">
        <v>263</v>
      </c>
      <c r="C604" s="2">
        <f>HYPERLINK("https://sao.dolgi.msk.ru/account/1404103764/", 1404103764)</f>
        <v>1404103764</v>
      </c>
      <c r="D604">
        <v>-4734.24</v>
      </c>
    </row>
    <row r="605" spans="1:4" hidden="1" x14ac:dyDescent="0.25">
      <c r="A605" t="s">
        <v>238</v>
      </c>
      <c r="B605" t="s">
        <v>264</v>
      </c>
      <c r="C605" s="2">
        <f>HYPERLINK("https://sao.dolgi.msk.ru/account/1404104548/", 1404104548)</f>
        <v>1404104548</v>
      </c>
      <c r="D605">
        <v>-4729.75</v>
      </c>
    </row>
    <row r="606" spans="1:4" hidden="1" x14ac:dyDescent="0.25">
      <c r="A606" t="s">
        <v>238</v>
      </c>
      <c r="B606" t="s">
        <v>265</v>
      </c>
      <c r="C606" s="2">
        <f>HYPERLINK("https://sao.dolgi.msk.ru/account/1404104038/", 1404104038)</f>
        <v>1404104038</v>
      </c>
      <c r="D606">
        <v>-7126.61</v>
      </c>
    </row>
    <row r="607" spans="1:4" hidden="1" x14ac:dyDescent="0.25">
      <c r="A607" t="s">
        <v>238</v>
      </c>
      <c r="B607" t="s">
        <v>266</v>
      </c>
      <c r="C607" s="2">
        <f>HYPERLINK("https://sao.dolgi.msk.ru/account/1404103772/", 1404103772)</f>
        <v>1404103772</v>
      </c>
      <c r="D607">
        <v>-6331.63</v>
      </c>
    </row>
    <row r="608" spans="1:4" hidden="1" x14ac:dyDescent="0.25">
      <c r="A608" t="s">
        <v>238</v>
      </c>
      <c r="B608" t="s">
        <v>267</v>
      </c>
      <c r="C608" s="2">
        <f>HYPERLINK("https://sao.dolgi.msk.ru/account/1404104388/", 1404104388)</f>
        <v>1404104388</v>
      </c>
      <c r="D608">
        <v>-235.12</v>
      </c>
    </row>
    <row r="609" spans="1:4" hidden="1" x14ac:dyDescent="0.25">
      <c r="A609" t="s">
        <v>238</v>
      </c>
      <c r="B609" t="s">
        <v>268</v>
      </c>
      <c r="C609" s="2">
        <f>HYPERLINK("https://sao.dolgi.msk.ru/account/1404104193/", 1404104193)</f>
        <v>1404104193</v>
      </c>
      <c r="D609">
        <v>-4583.37</v>
      </c>
    </row>
    <row r="610" spans="1:4" hidden="1" x14ac:dyDescent="0.25">
      <c r="A610" t="s">
        <v>238</v>
      </c>
      <c r="B610" t="s">
        <v>269</v>
      </c>
      <c r="C610" s="2">
        <f>HYPERLINK("https://sao.dolgi.msk.ru/account/1404104695/", 1404104695)</f>
        <v>1404104695</v>
      </c>
      <c r="D610">
        <v>-1224.53</v>
      </c>
    </row>
    <row r="611" spans="1:4" hidden="1" x14ac:dyDescent="0.25">
      <c r="A611" t="s">
        <v>238</v>
      </c>
      <c r="B611" t="s">
        <v>270</v>
      </c>
      <c r="C611" s="2">
        <f>HYPERLINK("https://sao.dolgi.msk.ru/account/1404104839/", 1404104839)</f>
        <v>1404104839</v>
      </c>
      <c r="D611">
        <v>-5369.86</v>
      </c>
    </row>
    <row r="612" spans="1:4" hidden="1" x14ac:dyDescent="0.25">
      <c r="A612" t="s">
        <v>238</v>
      </c>
      <c r="B612" t="s">
        <v>271</v>
      </c>
      <c r="C612" s="2">
        <f>HYPERLINK("https://sao.dolgi.msk.ru/account/1404104708/", 1404104708)</f>
        <v>1404104708</v>
      </c>
      <c r="D612">
        <v>-4470.3900000000003</v>
      </c>
    </row>
    <row r="613" spans="1:4" hidden="1" x14ac:dyDescent="0.25">
      <c r="A613" t="s">
        <v>238</v>
      </c>
      <c r="B613" t="s">
        <v>272</v>
      </c>
      <c r="C613" s="2">
        <f>HYPERLINK("https://sao.dolgi.msk.ru/account/1404103908/", 1404103908)</f>
        <v>1404103908</v>
      </c>
      <c r="D613">
        <v>-7117.77</v>
      </c>
    </row>
    <row r="614" spans="1:4" hidden="1" x14ac:dyDescent="0.25">
      <c r="A614" t="s">
        <v>238</v>
      </c>
      <c r="B614" t="s">
        <v>273</v>
      </c>
      <c r="C614" s="2">
        <f>HYPERLINK("https://sao.dolgi.msk.ru/account/1404104396/", 1404104396)</f>
        <v>1404104396</v>
      </c>
      <c r="D614">
        <v>-2522.48</v>
      </c>
    </row>
    <row r="615" spans="1:4" hidden="1" x14ac:dyDescent="0.25">
      <c r="A615" t="s">
        <v>238</v>
      </c>
      <c r="B615" t="s">
        <v>274</v>
      </c>
      <c r="C615" s="2">
        <f>HYPERLINK("https://sao.dolgi.msk.ru/account/1404103916/", 1404103916)</f>
        <v>1404103916</v>
      </c>
      <c r="D615">
        <v>-5887.13</v>
      </c>
    </row>
    <row r="616" spans="1:4" hidden="1" x14ac:dyDescent="0.25">
      <c r="A616" t="s">
        <v>238</v>
      </c>
      <c r="B616" t="s">
        <v>275</v>
      </c>
      <c r="C616" s="2">
        <f>HYPERLINK("https://sao.dolgi.msk.ru/account/1404104847/", 1404104847)</f>
        <v>1404104847</v>
      </c>
      <c r="D616">
        <v>0</v>
      </c>
    </row>
    <row r="617" spans="1:4" hidden="1" x14ac:dyDescent="0.25">
      <c r="A617" t="s">
        <v>238</v>
      </c>
      <c r="B617" t="s">
        <v>276</v>
      </c>
      <c r="C617" s="2">
        <f>HYPERLINK("https://sao.dolgi.msk.ru/account/1404103799/", 1404103799)</f>
        <v>1404103799</v>
      </c>
      <c r="D617">
        <v>-5115.49</v>
      </c>
    </row>
    <row r="618" spans="1:4" hidden="1" x14ac:dyDescent="0.25">
      <c r="A618" t="s">
        <v>238</v>
      </c>
      <c r="B618" t="s">
        <v>277</v>
      </c>
      <c r="C618" s="2">
        <f>HYPERLINK("https://sao.dolgi.msk.ru/account/1404104206/", 1404104206)</f>
        <v>1404104206</v>
      </c>
      <c r="D618">
        <v>-5306.1</v>
      </c>
    </row>
    <row r="619" spans="1:4" hidden="1" x14ac:dyDescent="0.25">
      <c r="A619" t="s">
        <v>238</v>
      </c>
      <c r="B619" t="s">
        <v>278</v>
      </c>
      <c r="C619" s="2">
        <f>HYPERLINK("https://sao.dolgi.msk.ru/account/1404104046/", 1404104046)</f>
        <v>1404104046</v>
      </c>
      <c r="D619">
        <v>-5090.8599999999997</v>
      </c>
    </row>
    <row r="620" spans="1:4" hidden="1" x14ac:dyDescent="0.25">
      <c r="A620" t="s">
        <v>238</v>
      </c>
      <c r="B620" t="s">
        <v>279</v>
      </c>
      <c r="C620" s="2">
        <f>HYPERLINK("https://sao.dolgi.msk.ru/account/1404104556/", 1404104556)</f>
        <v>1404104556</v>
      </c>
      <c r="D620">
        <v>-9792.49</v>
      </c>
    </row>
    <row r="621" spans="1:4" hidden="1" x14ac:dyDescent="0.25">
      <c r="A621" t="s">
        <v>238</v>
      </c>
      <c r="B621" t="s">
        <v>280</v>
      </c>
      <c r="C621" s="2">
        <f>HYPERLINK("https://sao.dolgi.msk.ru/account/1404104716/", 1404104716)</f>
        <v>1404104716</v>
      </c>
      <c r="D621">
        <v>-6397.94</v>
      </c>
    </row>
    <row r="622" spans="1:4" hidden="1" x14ac:dyDescent="0.25">
      <c r="A622" t="s">
        <v>238</v>
      </c>
      <c r="B622" t="s">
        <v>281</v>
      </c>
      <c r="C622" s="2">
        <f>HYPERLINK("https://sao.dolgi.msk.ru/account/1404103924/", 1404103924)</f>
        <v>1404103924</v>
      </c>
      <c r="D622">
        <v>-3358.86</v>
      </c>
    </row>
    <row r="623" spans="1:4" hidden="1" x14ac:dyDescent="0.25">
      <c r="A623" t="s">
        <v>238</v>
      </c>
      <c r="B623" t="s">
        <v>282</v>
      </c>
      <c r="C623" s="2">
        <f>HYPERLINK("https://sao.dolgi.msk.ru/account/1404104855/", 1404104855)</f>
        <v>1404104855</v>
      </c>
      <c r="D623">
        <v>0</v>
      </c>
    </row>
    <row r="624" spans="1:4" hidden="1" x14ac:dyDescent="0.25">
      <c r="A624" t="s">
        <v>238</v>
      </c>
      <c r="B624" t="s">
        <v>283</v>
      </c>
      <c r="C624" s="2">
        <f>HYPERLINK("https://sao.dolgi.msk.ru/account/1404104863/", 1404104863)</f>
        <v>1404104863</v>
      </c>
      <c r="D624">
        <v>-3616.59</v>
      </c>
    </row>
    <row r="625" spans="1:4" hidden="1" x14ac:dyDescent="0.25">
      <c r="A625" t="s">
        <v>238</v>
      </c>
      <c r="B625" t="s">
        <v>284</v>
      </c>
      <c r="C625" s="2">
        <f>HYPERLINK("https://sao.dolgi.msk.ru/account/1404104409/", 1404104409)</f>
        <v>1404104409</v>
      </c>
      <c r="D625">
        <v>-362.36</v>
      </c>
    </row>
    <row r="626" spans="1:4" x14ac:dyDescent="0.25">
      <c r="A626" t="s">
        <v>238</v>
      </c>
      <c r="B626" t="s">
        <v>285</v>
      </c>
      <c r="C626" s="2">
        <f>HYPERLINK("https://sao.dolgi.msk.ru/account/1404104054/", 1404104054)</f>
        <v>1404104054</v>
      </c>
      <c r="D626">
        <v>10926.27</v>
      </c>
    </row>
    <row r="627" spans="1:4" hidden="1" x14ac:dyDescent="0.25">
      <c r="A627" t="s">
        <v>238</v>
      </c>
      <c r="B627" t="s">
        <v>286</v>
      </c>
      <c r="C627" s="2">
        <f>HYPERLINK("https://sao.dolgi.msk.ru/account/1404104724/", 1404104724)</f>
        <v>1404104724</v>
      </c>
      <c r="D627">
        <v>-8064.73</v>
      </c>
    </row>
    <row r="628" spans="1:4" hidden="1" x14ac:dyDescent="0.25">
      <c r="A628" t="s">
        <v>238</v>
      </c>
      <c r="B628" t="s">
        <v>287</v>
      </c>
      <c r="C628" s="2">
        <f>HYPERLINK("https://sao.dolgi.msk.ru/account/1404103932/", 1404103932)</f>
        <v>1404103932</v>
      </c>
      <c r="D628">
        <v>-7138.54</v>
      </c>
    </row>
    <row r="629" spans="1:4" hidden="1" x14ac:dyDescent="0.25">
      <c r="A629" t="s">
        <v>238</v>
      </c>
      <c r="B629" t="s">
        <v>288</v>
      </c>
      <c r="C629" s="2">
        <f>HYPERLINK("https://sao.dolgi.msk.ru/account/1404104732/", 1404104732)</f>
        <v>1404104732</v>
      </c>
      <c r="D629">
        <v>-3395.03</v>
      </c>
    </row>
    <row r="630" spans="1:4" hidden="1" x14ac:dyDescent="0.25">
      <c r="A630" t="s">
        <v>238</v>
      </c>
      <c r="B630" t="s">
        <v>289</v>
      </c>
      <c r="C630" s="2">
        <f>HYPERLINK("https://sao.dolgi.msk.ru/account/1404103959/", 1404103959)</f>
        <v>1404103959</v>
      </c>
      <c r="D630">
        <v>0</v>
      </c>
    </row>
    <row r="631" spans="1:4" hidden="1" x14ac:dyDescent="0.25">
      <c r="A631" t="s">
        <v>238</v>
      </c>
      <c r="B631" t="s">
        <v>290</v>
      </c>
      <c r="C631" s="2">
        <f>HYPERLINK("https://sao.dolgi.msk.ru/account/1404103801/", 1404103801)</f>
        <v>1404103801</v>
      </c>
      <c r="D631">
        <v>-200.03</v>
      </c>
    </row>
    <row r="632" spans="1:4" hidden="1" x14ac:dyDescent="0.25">
      <c r="A632" t="s">
        <v>238</v>
      </c>
      <c r="B632" t="s">
        <v>291</v>
      </c>
      <c r="C632" s="2">
        <f>HYPERLINK("https://sao.dolgi.msk.ru/account/1404104759/", 1404104759)</f>
        <v>1404104759</v>
      </c>
      <c r="D632">
        <v>-182.21</v>
      </c>
    </row>
    <row r="633" spans="1:4" hidden="1" x14ac:dyDescent="0.25">
      <c r="A633" t="s">
        <v>238</v>
      </c>
      <c r="B633" t="s">
        <v>292</v>
      </c>
      <c r="C633" s="2">
        <f>HYPERLINK("https://sao.dolgi.msk.ru/account/1404104417/", 1404104417)</f>
        <v>1404104417</v>
      </c>
      <c r="D633">
        <v>-4973.53</v>
      </c>
    </row>
    <row r="634" spans="1:4" hidden="1" x14ac:dyDescent="0.25">
      <c r="A634" t="s">
        <v>238</v>
      </c>
      <c r="B634" t="s">
        <v>293</v>
      </c>
      <c r="C634" s="2">
        <f>HYPERLINK("https://sao.dolgi.msk.ru/account/1404104871/", 1404104871)</f>
        <v>1404104871</v>
      </c>
      <c r="D634">
        <v>0</v>
      </c>
    </row>
    <row r="635" spans="1:4" hidden="1" x14ac:dyDescent="0.25">
      <c r="A635" t="s">
        <v>238</v>
      </c>
      <c r="B635" t="s">
        <v>294</v>
      </c>
      <c r="C635" s="2">
        <f>HYPERLINK("https://sao.dolgi.msk.ru/account/1404104425/", 1404104425)</f>
        <v>1404104425</v>
      </c>
      <c r="D635">
        <v>-4515.8999999999996</v>
      </c>
    </row>
    <row r="636" spans="1:4" hidden="1" x14ac:dyDescent="0.25">
      <c r="A636" t="s">
        <v>238</v>
      </c>
      <c r="B636" t="s">
        <v>295</v>
      </c>
      <c r="C636" s="2">
        <f>HYPERLINK("https://sao.dolgi.msk.ru/account/1404104062/", 1404104062)</f>
        <v>1404104062</v>
      </c>
      <c r="D636">
        <v>-3826.12</v>
      </c>
    </row>
    <row r="637" spans="1:4" hidden="1" x14ac:dyDescent="0.25">
      <c r="A637" t="s">
        <v>238</v>
      </c>
      <c r="B637" t="s">
        <v>296</v>
      </c>
      <c r="C637" s="2">
        <f>HYPERLINK("https://sao.dolgi.msk.ru/account/1404104767/", 1404104767)</f>
        <v>1404104767</v>
      </c>
      <c r="D637">
        <v>-3687.26</v>
      </c>
    </row>
    <row r="638" spans="1:4" x14ac:dyDescent="0.25">
      <c r="A638" t="s">
        <v>238</v>
      </c>
      <c r="B638" t="s">
        <v>297</v>
      </c>
      <c r="C638" s="2">
        <f>HYPERLINK("https://sao.dolgi.msk.ru/account/1404104564/", 1404104564)</f>
        <v>1404104564</v>
      </c>
      <c r="D638">
        <v>7215.18</v>
      </c>
    </row>
    <row r="639" spans="1:4" hidden="1" x14ac:dyDescent="0.25">
      <c r="A639" t="s">
        <v>238</v>
      </c>
      <c r="B639" t="s">
        <v>298</v>
      </c>
      <c r="C639" s="2">
        <f>HYPERLINK("https://sao.dolgi.msk.ru/account/1404104775/", 1404104775)</f>
        <v>1404104775</v>
      </c>
      <c r="D639">
        <v>-1462.56</v>
      </c>
    </row>
    <row r="640" spans="1:4" hidden="1" x14ac:dyDescent="0.25">
      <c r="A640" t="s">
        <v>238</v>
      </c>
      <c r="B640" t="s">
        <v>299</v>
      </c>
      <c r="C640" s="2">
        <f>HYPERLINK("https://sao.dolgi.msk.ru/account/1404104433/", 1404104433)</f>
        <v>1404104433</v>
      </c>
      <c r="D640">
        <v>-6761.01</v>
      </c>
    </row>
    <row r="641" spans="1:4" hidden="1" x14ac:dyDescent="0.25">
      <c r="A641" t="s">
        <v>238</v>
      </c>
      <c r="B641" t="s">
        <v>300</v>
      </c>
      <c r="C641" s="2">
        <f>HYPERLINK("https://sao.dolgi.msk.ru/account/1404104572/", 1404104572)</f>
        <v>1404104572</v>
      </c>
      <c r="D641">
        <v>-8830.7800000000007</v>
      </c>
    </row>
    <row r="642" spans="1:4" hidden="1" x14ac:dyDescent="0.25">
      <c r="A642" t="s">
        <v>238</v>
      </c>
      <c r="B642" t="s">
        <v>301</v>
      </c>
      <c r="C642" s="2">
        <f>HYPERLINK("https://sao.dolgi.msk.ru/account/1404104441/", 1404104441)</f>
        <v>1404104441</v>
      </c>
      <c r="D642">
        <v>0</v>
      </c>
    </row>
    <row r="643" spans="1:4" hidden="1" x14ac:dyDescent="0.25">
      <c r="A643" t="s">
        <v>238</v>
      </c>
      <c r="B643" t="s">
        <v>302</v>
      </c>
      <c r="C643" s="2">
        <f>HYPERLINK("https://sao.dolgi.msk.ru/account/1404104783/", 1404104783)</f>
        <v>1404104783</v>
      </c>
      <c r="D643">
        <v>-501.98</v>
      </c>
    </row>
    <row r="644" spans="1:4" hidden="1" x14ac:dyDescent="0.25">
      <c r="A644" t="s">
        <v>238</v>
      </c>
      <c r="B644" t="s">
        <v>303</v>
      </c>
      <c r="C644" s="2">
        <f>HYPERLINK("https://sao.dolgi.msk.ru/account/1404104898/", 1404104898)</f>
        <v>1404104898</v>
      </c>
      <c r="D644">
        <v>-4940.88</v>
      </c>
    </row>
    <row r="645" spans="1:4" hidden="1" x14ac:dyDescent="0.25">
      <c r="A645" t="s">
        <v>238</v>
      </c>
      <c r="B645" t="s">
        <v>304</v>
      </c>
      <c r="C645" s="2">
        <f>HYPERLINK("https://sao.dolgi.msk.ru/account/1404104468/", 1404104468)</f>
        <v>1404104468</v>
      </c>
      <c r="D645">
        <v>-11002.05</v>
      </c>
    </row>
    <row r="646" spans="1:4" hidden="1" x14ac:dyDescent="0.25">
      <c r="A646" t="s">
        <v>238</v>
      </c>
      <c r="B646" t="s">
        <v>305</v>
      </c>
      <c r="C646" s="2">
        <f>HYPERLINK("https://sao.dolgi.msk.ru/account/1404104214/", 1404104214)</f>
        <v>1404104214</v>
      </c>
      <c r="D646">
        <v>0</v>
      </c>
    </row>
    <row r="647" spans="1:4" hidden="1" x14ac:dyDescent="0.25">
      <c r="A647" t="s">
        <v>238</v>
      </c>
      <c r="B647" t="s">
        <v>306</v>
      </c>
      <c r="C647" s="2">
        <f>HYPERLINK("https://sao.dolgi.msk.ru/account/1404103967/", 1404103967)</f>
        <v>1404103967</v>
      </c>
      <c r="D647">
        <v>-3210.83</v>
      </c>
    </row>
    <row r="648" spans="1:4" hidden="1" x14ac:dyDescent="0.25">
      <c r="A648" t="s">
        <v>238</v>
      </c>
      <c r="B648" t="s">
        <v>307</v>
      </c>
      <c r="C648" s="2">
        <f>HYPERLINK("https://sao.dolgi.msk.ru/account/1404104599/", 1404104599)</f>
        <v>1404104599</v>
      </c>
      <c r="D648">
        <v>-7526.88</v>
      </c>
    </row>
    <row r="649" spans="1:4" hidden="1" x14ac:dyDescent="0.25">
      <c r="A649" t="s">
        <v>238</v>
      </c>
      <c r="B649" t="s">
        <v>308</v>
      </c>
      <c r="C649" s="2">
        <f>HYPERLINK("https://sao.dolgi.msk.ru/account/1404103828/", 1404103828)</f>
        <v>1404103828</v>
      </c>
      <c r="D649">
        <v>0</v>
      </c>
    </row>
    <row r="650" spans="1:4" hidden="1" x14ac:dyDescent="0.25">
      <c r="A650" t="s">
        <v>238</v>
      </c>
      <c r="B650" t="s">
        <v>309</v>
      </c>
      <c r="C650" s="2">
        <f>HYPERLINK("https://sao.dolgi.msk.ru/account/1404104089/", 1404104089)</f>
        <v>1404104089</v>
      </c>
      <c r="D650">
        <v>-5353.19</v>
      </c>
    </row>
    <row r="651" spans="1:4" hidden="1" x14ac:dyDescent="0.25">
      <c r="A651" t="s">
        <v>238</v>
      </c>
      <c r="B651" t="s">
        <v>310</v>
      </c>
      <c r="C651" s="2">
        <f>HYPERLINK("https://sao.dolgi.msk.ru/account/1404104097/", 1404104097)</f>
        <v>1404104097</v>
      </c>
      <c r="D651">
        <v>0</v>
      </c>
    </row>
    <row r="652" spans="1:4" hidden="1" x14ac:dyDescent="0.25">
      <c r="A652" t="s">
        <v>238</v>
      </c>
      <c r="B652" t="s">
        <v>311</v>
      </c>
      <c r="C652" s="2">
        <f>HYPERLINK("https://sao.dolgi.msk.ru/account/1404104601/", 1404104601)</f>
        <v>1404104601</v>
      </c>
      <c r="D652">
        <v>-3859.71</v>
      </c>
    </row>
    <row r="653" spans="1:4" hidden="1" x14ac:dyDescent="0.25">
      <c r="A653" t="s">
        <v>238</v>
      </c>
      <c r="B653" t="s">
        <v>312</v>
      </c>
      <c r="C653" s="2">
        <f>HYPERLINK("https://sao.dolgi.msk.ru/account/1404104919/", 1404104919)</f>
        <v>1404104919</v>
      </c>
      <c r="D653">
        <v>-5542.31</v>
      </c>
    </row>
    <row r="654" spans="1:4" hidden="1" x14ac:dyDescent="0.25">
      <c r="A654" t="s">
        <v>238</v>
      </c>
      <c r="B654" t="s">
        <v>313</v>
      </c>
      <c r="C654" s="2">
        <f>HYPERLINK("https://sao.dolgi.msk.ru/account/1404104791/", 1404104791)</f>
        <v>1404104791</v>
      </c>
      <c r="D654">
        <v>-14030.36</v>
      </c>
    </row>
    <row r="655" spans="1:4" hidden="1" x14ac:dyDescent="0.25">
      <c r="A655" t="s">
        <v>238</v>
      </c>
      <c r="B655" t="s">
        <v>314</v>
      </c>
      <c r="C655" s="2">
        <f>HYPERLINK("https://sao.dolgi.msk.ru/account/1404104927/", 1404104927)</f>
        <v>1404104927</v>
      </c>
      <c r="D655">
        <v>-8274.0499999999993</v>
      </c>
    </row>
    <row r="656" spans="1:4" hidden="1" x14ac:dyDescent="0.25">
      <c r="A656" t="s">
        <v>238</v>
      </c>
      <c r="B656" t="s">
        <v>315</v>
      </c>
      <c r="C656" s="2">
        <f>HYPERLINK("https://sao.dolgi.msk.ru/account/1404103975/", 1404103975)</f>
        <v>1404103975</v>
      </c>
      <c r="D656">
        <v>-3936.07</v>
      </c>
    </row>
    <row r="657" spans="1:4" x14ac:dyDescent="0.25">
      <c r="A657" t="s">
        <v>238</v>
      </c>
      <c r="B657" t="s">
        <v>316</v>
      </c>
      <c r="C657" s="2">
        <f>HYPERLINK("https://sao.dolgi.msk.ru/account/1404104222/", 1404104222)</f>
        <v>1404104222</v>
      </c>
      <c r="D657">
        <v>15473.48</v>
      </c>
    </row>
    <row r="658" spans="1:4" hidden="1" x14ac:dyDescent="0.25">
      <c r="A658" t="s">
        <v>238</v>
      </c>
      <c r="B658" t="s">
        <v>317</v>
      </c>
      <c r="C658" s="2">
        <f>HYPERLINK("https://sao.dolgi.msk.ru/account/1404104935/", 1404104935)</f>
        <v>1404104935</v>
      </c>
      <c r="D658">
        <v>-5370.67</v>
      </c>
    </row>
    <row r="659" spans="1:4" hidden="1" x14ac:dyDescent="0.25">
      <c r="A659" t="s">
        <v>238</v>
      </c>
      <c r="B659" t="s">
        <v>318</v>
      </c>
      <c r="C659" s="2">
        <f>HYPERLINK("https://sao.dolgi.msk.ru/account/1404104476/", 1404104476)</f>
        <v>1404104476</v>
      </c>
      <c r="D659">
        <v>-3379.16</v>
      </c>
    </row>
    <row r="660" spans="1:4" x14ac:dyDescent="0.25">
      <c r="A660" t="s">
        <v>238</v>
      </c>
      <c r="B660" t="s">
        <v>319</v>
      </c>
      <c r="C660" s="2">
        <f>HYPERLINK("https://sao.dolgi.msk.ru/account/1404103983/", 1404103983)</f>
        <v>1404103983</v>
      </c>
      <c r="D660">
        <v>5502.96</v>
      </c>
    </row>
    <row r="661" spans="1:4" hidden="1" x14ac:dyDescent="0.25">
      <c r="A661" t="s">
        <v>320</v>
      </c>
      <c r="B661" t="s">
        <v>321</v>
      </c>
      <c r="C661" s="2">
        <f>HYPERLINK("https://sao.dolgi.msk.ru/account/1404105591/", 1404105591)</f>
        <v>1404105591</v>
      </c>
      <c r="D661">
        <v>-6170.3</v>
      </c>
    </row>
    <row r="662" spans="1:4" hidden="1" x14ac:dyDescent="0.25">
      <c r="A662" t="s">
        <v>320</v>
      </c>
      <c r="B662" t="s">
        <v>322</v>
      </c>
      <c r="C662" s="2">
        <f>HYPERLINK("https://sao.dolgi.msk.ru/account/1404104943/", 1404104943)</f>
        <v>1404104943</v>
      </c>
      <c r="D662">
        <v>-435.3</v>
      </c>
    </row>
    <row r="663" spans="1:4" hidden="1" x14ac:dyDescent="0.25">
      <c r="A663" t="s">
        <v>320</v>
      </c>
      <c r="B663" t="s">
        <v>323</v>
      </c>
      <c r="C663" s="2">
        <f>HYPERLINK("https://sao.dolgi.msk.ru/account/1404105014/", 1404105014)</f>
        <v>1404105014</v>
      </c>
      <c r="D663">
        <v>-7236.1</v>
      </c>
    </row>
    <row r="664" spans="1:4" x14ac:dyDescent="0.25">
      <c r="A664" t="s">
        <v>320</v>
      </c>
      <c r="B664" t="s">
        <v>324</v>
      </c>
      <c r="C664" s="2">
        <f>HYPERLINK("https://sao.dolgi.msk.ru/account/1404105882/", 1404105882)</f>
        <v>1404105882</v>
      </c>
      <c r="D664">
        <v>31653.03</v>
      </c>
    </row>
    <row r="665" spans="1:4" hidden="1" x14ac:dyDescent="0.25">
      <c r="A665" t="s">
        <v>320</v>
      </c>
      <c r="B665" t="s">
        <v>325</v>
      </c>
      <c r="C665" s="2">
        <f>HYPERLINK("https://sao.dolgi.msk.ru/account/1404105604/", 1404105604)</f>
        <v>1404105604</v>
      </c>
      <c r="D665">
        <v>-2252.5700000000002</v>
      </c>
    </row>
    <row r="666" spans="1:4" x14ac:dyDescent="0.25">
      <c r="A666" t="s">
        <v>320</v>
      </c>
      <c r="B666" t="s">
        <v>326</v>
      </c>
      <c r="C666" s="2">
        <f>HYPERLINK("https://sao.dolgi.msk.ru/account/1404105145/", 1404105145)</f>
        <v>1404105145</v>
      </c>
      <c r="D666">
        <v>5267.43</v>
      </c>
    </row>
    <row r="667" spans="1:4" x14ac:dyDescent="0.25">
      <c r="A667" t="s">
        <v>320</v>
      </c>
      <c r="B667" t="s">
        <v>327</v>
      </c>
      <c r="C667" s="2">
        <f>HYPERLINK("https://sao.dolgi.msk.ru/account/1404105276/", 1404105276)</f>
        <v>1404105276</v>
      </c>
      <c r="D667">
        <v>1894.81</v>
      </c>
    </row>
    <row r="668" spans="1:4" hidden="1" x14ac:dyDescent="0.25">
      <c r="A668" t="s">
        <v>320</v>
      </c>
      <c r="B668" t="s">
        <v>328</v>
      </c>
      <c r="C668" s="2">
        <f>HYPERLINK("https://sao.dolgi.msk.ru/account/1404105612/", 1404105612)</f>
        <v>1404105612</v>
      </c>
      <c r="D668">
        <v>-4421.1499999999996</v>
      </c>
    </row>
    <row r="669" spans="1:4" hidden="1" x14ac:dyDescent="0.25">
      <c r="A669" t="s">
        <v>320</v>
      </c>
      <c r="B669" t="s">
        <v>329</v>
      </c>
      <c r="C669" s="2">
        <f>HYPERLINK("https://sao.dolgi.msk.ru/account/1404105153/", 1404105153)</f>
        <v>1404105153</v>
      </c>
      <c r="D669">
        <v>-5675.96</v>
      </c>
    </row>
    <row r="670" spans="1:4" hidden="1" x14ac:dyDescent="0.25">
      <c r="A670" t="s">
        <v>320</v>
      </c>
      <c r="B670" t="s">
        <v>330</v>
      </c>
      <c r="C670" s="2">
        <f>HYPERLINK("https://sao.dolgi.msk.ru/account/1404105903/", 1404105903)</f>
        <v>1404105903</v>
      </c>
      <c r="D670">
        <v>-5746.43</v>
      </c>
    </row>
    <row r="671" spans="1:4" hidden="1" x14ac:dyDescent="0.25">
      <c r="A671" t="s">
        <v>320</v>
      </c>
      <c r="B671" t="s">
        <v>331</v>
      </c>
      <c r="C671" s="2">
        <f>HYPERLINK("https://sao.dolgi.msk.ru/account/1404105022/", 1404105022)</f>
        <v>1404105022</v>
      </c>
      <c r="D671">
        <v>0</v>
      </c>
    </row>
    <row r="672" spans="1:4" hidden="1" x14ac:dyDescent="0.25">
      <c r="A672" t="s">
        <v>320</v>
      </c>
      <c r="B672" t="s">
        <v>332</v>
      </c>
      <c r="C672" s="2">
        <f>HYPERLINK("https://sao.dolgi.msk.ru/account/1404105049/", 1404105049)</f>
        <v>1404105049</v>
      </c>
      <c r="D672">
        <v>-6130.77</v>
      </c>
    </row>
    <row r="673" spans="1:4" hidden="1" x14ac:dyDescent="0.25">
      <c r="A673" t="s">
        <v>320</v>
      </c>
      <c r="B673" t="s">
        <v>333</v>
      </c>
      <c r="C673" s="2">
        <f>HYPERLINK("https://sao.dolgi.msk.ru/account/1404105583/", 1404105583)</f>
        <v>1404105583</v>
      </c>
      <c r="D673">
        <v>-4973.55</v>
      </c>
    </row>
    <row r="674" spans="1:4" hidden="1" x14ac:dyDescent="0.25">
      <c r="A674" t="s">
        <v>320</v>
      </c>
      <c r="B674" t="s">
        <v>334</v>
      </c>
      <c r="C674" s="2">
        <f>HYPERLINK("https://sao.dolgi.msk.ru/account/1404105161/", 1404105161)</f>
        <v>1404105161</v>
      </c>
      <c r="D674">
        <v>0</v>
      </c>
    </row>
    <row r="675" spans="1:4" hidden="1" x14ac:dyDescent="0.25">
      <c r="A675" t="s">
        <v>320</v>
      </c>
      <c r="B675" t="s">
        <v>335</v>
      </c>
      <c r="C675" s="2">
        <f>HYPERLINK("https://sao.dolgi.msk.ru/account/1404105743/", 1404105743)</f>
        <v>1404105743</v>
      </c>
      <c r="D675">
        <v>-4471.7</v>
      </c>
    </row>
    <row r="676" spans="1:4" x14ac:dyDescent="0.25">
      <c r="A676" t="s">
        <v>320</v>
      </c>
      <c r="B676" t="s">
        <v>336</v>
      </c>
      <c r="C676" s="2">
        <f>HYPERLINK("https://sao.dolgi.msk.ru/account/1404105284/", 1404105284)</f>
        <v>1404105284</v>
      </c>
      <c r="D676">
        <v>49195.09</v>
      </c>
    </row>
    <row r="677" spans="1:4" hidden="1" x14ac:dyDescent="0.25">
      <c r="A677" t="s">
        <v>320</v>
      </c>
      <c r="B677" t="s">
        <v>337</v>
      </c>
      <c r="C677" s="2">
        <f>HYPERLINK("https://sao.dolgi.msk.ru/account/1404105639/", 1404105639)</f>
        <v>1404105639</v>
      </c>
      <c r="D677">
        <v>0</v>
      </c>
    </row>
    <row r="678" spans="1:4" x14ac:dyDescent="0.25">
      <c r="A678" t="s">
        <v>320</v>
      </c>
      <c r="B678" t="s">
        <v>338</v>
      </c>
      <c r="C678" s="2">
        <f>HYPERLINK("https://sao.dolgi.msk.ru/account/1404105911/", 1404105911)</f>
        <v>1404105911</v>
      </c>
      <c r="D678">
        <v>7119.08</v>
      </c>
    </row>
    <row r="679" spans="1:4" hidden="1" x14ac:dyDescent="0.25">
      <c r="A679" t="s">
        <v>320</v>
      </c>
      <c r="B679" t="s">
        <v>339</v>
      </c>
      <c r="C679" s="2">
        <f>HYPERLINK("https://sao.dolgi.msk.ru/account/1404105938/", 1404105938)</f>
        <v>1404105938</v>
      </c>
      <c r="D679">
        <v>-4941.8999999999996</v>
      </c>
    </row>
    <row r="680" spans="1:4" hidden="1" x14ac:dyDescent="0.25">
      <c r="A680" t="s">
        <v>320</v>
      </c>
      <c r="B680" t="s">
        <v>340</v>
      </c>
      <c r="C680" s="2">
        <f>HYPERLINK("https://sao.dolgi.msk.ru/account/1404105946/", 1404105946)</f>
        <v>1404105946</v>
      </c>
      <c r="D680">
        <v>-5450.86</v>
      </c>
    </row>
    <row r="681" spans="1:4" hidden="1" x14ac:dyDescent="0.25">
      <c r="A681" t="s">
        <v>320</v>
      </c>
      <c r="B681" t="s">
        <v>341</v>
      </c>
      <c r="C681" s="2">
        <f>HYPERLINK("https://sao.dolgi.msk.ru/account/1404105954/", 1404105954)</f>
        <v>1404105954</v>
      </c>
      <c r="D681">
        <v>-3916.76</v>
      </c>
    </row>
    <row r="682" spans="1:4" hidden="1" x14ac:dyDescent="0.25">
      <c r="A682" t="s">
        <v>320</v>
      </c>
      <c r="B682" t="s">
        <v>342</v>
      </c>
      <c r="C682" s="2">
        <f>HYPERLINK("https://sao.dolgi.msk.ru/account/1404105962/", 1404105962)</f>
        <v>1404105962</v>
      </c>
      <c r="D682">
        <v>-324.45999999999998</v>
      </c>
    </row>
    <row r="683" spans="1:4" hidden="1" x14ac:dyDescent="0.25">
      <c r="A683" t="s">
        <v>320</v>
      </c>
      <c r="B683" t="s">
        <v>343</v>
      </c>
      <c r="C683" s="2">
        <f>HYPERLINK("https://sao.dolgi.msk.ru/account/1404105436/", 1404105436)</f>
        <v>1404105436</v>
      </c>
      <c r="D683">
        <v>-279.70999999999998</v>
      </c>
    </row>
    <row r="684" spans="1:4" hidden="1" x14ac:dyDescent="0.25">
      <c r="A684" t="s">
        <v>320</v>
      </c>
      <c r="B684" t="s">
        <v>344</v>
      </c>
      <c r="C684" s="2">
        <f>HYPERLINK("https://sao.dolgi.msk.ru/account/1404105751/", 1404105751)</f>
        <v>1404105751</v>
      </c>
      <c r="D684">
        <v>-4160.0200000000004</v>
      </c>
    </row>
    <row r="685" spans="1:4" hidden="1" x14ac:dyDescent="0.25">
      <c r="A685" t="s">
        <v>320</v>
      </c>
      <c r="B685" t="s">
        <v>345</v>
      </c>
      <c r="C685" s="2">
        <f>HYPERLINK("https://sao.dolgi.msk.ru/account/1404105647/", 1404105647)</f>
        <v>1404105647</v>
      </c>
      <c r="D685">
        <v>-5479.03</v>
      </c>
    </row>
    <row r="686" spans="1:4" hidden="1" x14ac:dyDescent="0.25">
      <c r="A686" t="s">
        <v>320</v>
      </c>
      <c r="B686" t="s">
        <v>346</v>
      </c>
      <c r="C686" s="2">
        <f>HYPERLINK("https://sao.dolgi.msk.ru/account/1404105057/", 1404105057)</f>
        <v>1404105057</v>
      </c>
      <c r="D686">
        <v>-3770.47</v>
      </c>
    </row>
    <row r="687" spans="1:4" hidden="1" x14ac:dyDescent="0.25">
      <c r="A687" t="s">
        <v>320</v>
      </c>
      <c r="B687" t="s">
        <v>347</v>
      </c>
      <c r="C687" s="2">
        <f>HYPERLINK("https://sao.dolgi.msk.ru/account/1404105065/", 1404105065)</f>
        <v>1404105065</v>
      </c>
      <c r="D687">
        <v>-5291.85</v>
      </c>
    </row>
    <row r="688" spans="1:4" x14ac:dyDescent="0.25">
      <c r="A688" t="s">
        <v>320</v>
      </c>
      <c r="B688" t="s">
        <v>348</v>
      </c>
      <c r="C688" s="2">
        <f>HYPERLINK("https://sao.dolgi.msk.ru/account/1404105444/", 1404105444)</f>
        <v>1404105444</v>
      </c>
      <c r="D688">
        <v>4224.84</v>
      </c>
    </row>
    <row r="689" spans="1:4" hidden="1" x14ac:dyDescent="0.25">
      <c r="A689" t="s">
        <v>320</v>
      </c>
      <c r="B689" t="s">
        <v>349</v>
      </c>
      <c r="C689" s="2">
        <f>HYPERLINK("https://sao.dolgi.msk.ru/account/1404105655/", 1404105655)</f>
        <v>1404105655</v>
      </c>
      <c r="D689">
        <v>0</v>
      </c>
    </row>
    <row r="690" spans="1:4" hidden="1" x14ac:dyDescent="0.25">
      <c r="A690" t="s">
        <v>320</v>
      </c>
      <c r="B690" t="s">
        <v>350</v>
      </c>
      <c r="C690" s="2">
        <f>HYPERLINK("https://sao.dolgi.msk.ru/account/1404104951/", 1404104951)</f>
        <v>1404104951</v>
      </c>
      <c r="D690">
        <v>0</v>
      </c>
    </row>
    <row r="691" spans="1:4" hidden="1" x14ac:dyDescent="0.25">
      <c r="A691" t="s">
        <v>320</v>
      </c>
      <c r="B691" t="s">
        <v>350</v>
      </c>
      <c r="C691" s="2">
        <f>HYPERLINK("https://sao.dolgi.msk.ru/account/1404106068/", 1404106068)</f>
        <v>1404106068</v>
      </c>
      <c r="D691">
        <v>0</v>
      </c>
    </row>
    <row r="692" spans="1:4" hidden="1" x14ac:dyDescent="0.25">
      <c r="A692" t="s">
        <v>320</v>
      </c>
      <c r="B692" t="s">
        <v>351</v>
      </c>
      <c r="C692" s="2">
        <f>HYPERLINK("https://sao.dolgi.msk.ru/account/1404105188/", 1404105188)</f>
        <v>1404105188</v>
      </c>
      <c r="D692">
        <v>0</v>
      </c>
    </row>
    <row r="693" spans="1:4" hidden="1" x14ac:dyDescent="0.25">
      <c r="A693" t="s">
        <v>320</v>
      </c>
      <c r="B693" t="s">
        <v>352</v>
      </c>
      <c r="C693" s="2">
        <f>HYPERLINK("https://sao.dolgi.msk.ru/account/1404105292/", 1404105292)</f>
        <v>1404105292</v>
      </c>
      <c r="D693">
        <v>-5465.5</v>
      </c>
    </row>
    <row r="694" spans="1:4" hidden="1" x14ac:dyDescent="0.25">
      <c r="A694" t="s">
        <v>320</v>
      </c>
      <c r="B694" t="s">
        <v>353</v>
      </c>
      <c r="C694" s="2">
        <f>HYPERLINK("https://sao.dolgi.msk.ru/account/1404105452/", 1404105452)</f>
        <v>1404105452</v>
      </c>
      <c r="D694">
        <v>-5742.64</v>
      </c>
    </row>
    <row r="695" spans="1:4" hidden="1" x14ac:dyDescent="0.25">
      <c r="A695" t="s">
        <v>320</v>
      </c>
      <c r="B695" t="s">
        <v>354</v>
      </c>
      <c r="C695" s="2">
        <f>HYPERLINK("https://sao.dolgi.msk.ru/account/1404105305/", 1404105305)</f>
        <v>1404105305</v>
      </c>
      <c r="D695">
        <v>-2009.46</v>
      </c>
    </row>
    <row r="696" spans="1:4" hidden="1" x14ac:dyDescent="0.25">
      <c r="A696" t="s">
        <v>320</v>
      </c>
      <c r="B696" t="s">
        <v>355</v>
      </c>
      <c r="C696" s="2">
        <f>HYPERLINK("https://sao.dolgi.msk.ru/account/1404104978/", 1404104978)</f>
        <v>1404104978</v>
      </c>
      <c r="D696">
        <v>-4922.6499999999996</v>
      </c>
    </row>
    <row r="697" spans="1:4" hidden="1" x14ac:dyDescent="0.25">
      <c r="A697" t="s">
        <v>320</v>
      </c>
      <c r="B697" t="s">
        <v>356</v>
      </c>
      <c r="C697" s="2">
        <f>HYPERLINK("https://sao.dolgi.msk.ru/account/1404105778/", 1404105778)</f>
        <v>1404105778</v>
      </c>
      <c r="D697">
        <v>-2719.74</v>
      </c>
    </row>
    <row r="698" spans="1:4" x14ac:dyDescent="0.25">
      <c r="A698" t="s">
        <v>320</v>
      </c>
      <c r="B698" t="s">
        <v>357</v>
      </c>
      <c r="C698" s="2">
        <f>HYPERLINK("https://sao.dolgi.msk.ru/account/1404105196/", 1404105196)</f>
        <v>1404105196</v>
      </c>
      <c r="D698">
        <v>7916.31</v>
      </c>
    </row>
    <row r="699" spans="1:4" x14ac:dyDescent="0.25">
      <c r="A699" t="s">
        <v>320</v>
      </c>
      <c r="B699" t="s">
        <v>358</v>
      </c>
      <c r="C699" s="2">
        <f>HYPERLINK("https://sao.dolgi.msk.ru/account/1404105313/", 1404105313)</f>
        <v>1404105313</v>
      </c>
      <c r="D699">
        <v>1174.44</v>
      </c>
    </row>
    <row r="700" spans="1:4" hidden="1" x14ac:dyDescent="0.25">
      <c r="A700" t="s">
        <v>320</v>
      </c>
      <c r="B700" t="s">
        <v>359</v>
      </c>
      <c r="C700" s="2">
        <f>HYPERLINK("https://sao.dolgi.msk.ru/account/1404105663/", 1404105663)</f>
        <v>1404105663</v>
      </c>
      <c r="D700">
        <v>0</v>
      </c>
    </row>
    <row r="701" spans="1:4" hidden="1" x14ac:dyDescent="0.25">
      <c r="A701" t="s">
        <v>320</v>
      </c>
      <c r="B701" t="s">
        <v>360</v>
      </c>
      <c r="C701" s="2">
        <f>HYPERLINK("https://sao.dolgi.msk.ru/account/1404105479/", 1404105479)</f>
        <v>1404105479</v>
      </c>
      <c r="D701">
        <v>0</v>
      </c>
    </row>
    <row r="702" spans="1:4" hidden="1" x14ac:dyDescent="0.25">
      <c r="A702" t="s">
        <v>320</v>
      </c>
      <c r="B702" t="s">
        <v>361</v>
      </c>
      <c r="C702" s="2">
        <f>HYPERLINK("https://sao.dolgi.msk.ru/account/1404105487/", 1404105487)</f>
        <v>1404105487</v>
      </c>
      <c r="D702">
        <v>-3669.32</v>
      </c>
    </row>
    <row r="703" spans="1:4" hidden="1" x14ac:dyDescent="0.25">
      <c r="A703" t="s">
        <v>320</v>
      </c>
      <c r="B703" t="s">
        <v>362</v>
      </c>
      <c r="C703" s="2">
        <f>HYPERLINK("https://sao.dolgi.msk.ru/account/1404105786/", 1404105786)</f>
        <v>1404105786</v>
      </c>
      <c r="D703">
        <v>0</v>
      </c>
    </row>
    <row r="704" spans="1:4" hidden="1" x14ac:dyDescent="0.25">
      <c r="A704" t="s">
        <v>320</v>
      </c>
      <c r="B704" t="s">
        <v>363</v>
      </c>
      <c r="C704" s="2">
        <f>HYPERLINK("https://sao.dolgi.msk.ru/account/1404105794/", 1404105794)</f>
        <v>1404105794</v>
      </c>
      <c r="D704">
        <v>-5925.45</v>
      </c>
    </row>
    <row r="705" spans="1:4" hidden="1" x14ac:dyDescent="0.25">
      <c r="A705" t="s">
        <v>320</v>
      </c>
      <c r="B705" t="s">
        <v>364</v>
      </c>
      <c r="C705" s="2">
        <f>HYPERLINK("https://sao.dolgi.msk.ru/account/1404105321/", 1404105321)</f>
        <v>1404105321</v>
      </c>
      <c r="D705">
        <v>-5651.07</v>
      </c>
    </row>
    <row r="706" spans="1:4" hidden="1" x14ac:dyDescent="0.25">
      <c r="A706" t="s">
        <v>320</v>
      </c>
      <c r="B706" t="s">
        <v>365</v>
      </c>
      <c r="C706" s="2">
        <f>HYPERLINK("https://sao.dolgi.msk.ru/account/1404105671/", 1404105671)</f>
        <v>1404105671</v>
      </c>
      <c r="D706">
        <v>-6491.74</v>
      </c>
    </row>
    <row r="707" spans="1:4" x14ac:dyDescent="0.25">
      <c r="A707" t="s">
        <v>320</v>
      </c>
      <c r="B707" t="s">
        <v>366</v>
      </c>
      <c r="C707" s="2">
        <f>HYPERLINK("https://sao.dolgi.msk.ru/account/1404105348/", 1404105348)</f>
        <v>1404105348</v>
      </c>
      <c r="D707">
        <v>4029.68</v>
      </c>
    </row>
    <row r="708" spans="1:4" hidden="1" x14ac:dyDescent="0.25">
      <c r="A708" t="s">
        <v>320</v>
      </c>
      <c r="B708" t="s">
        <v>367</v>
      </c>
      <c r="C708" s="2">
        <f>HYPERLINK("https://sao.dolgi.msk.ru/account/1404105807/", 1404105807)</f>
        <v>1404105807</v>
      </c>
      <c r="D708">
        <v>-2071.09</v>
      </c>
    </row>
    <row r="709" spans="1:4" hidden="1" x14ac:dyDescent="0.25">
      <c r="A709" t="s">
        <v>320</v>
      </c>
      <c r="B709" t="s">
        <v>368</v>
      </c>
      <c r="C709" s="2">
        <f>HYPERLINK("https://sao.dolgi.msk.ru/account/1404105356/", 1404105356)</f>
        <v>1404105356</v>
      </c>
      <c r="D709">
        <v>-5303.93</v>
      </c>
    </row>
    <row r="710" spans="1:4" hidden="1" x14ac:dyDescent="0.25">
      <c r="A710" t="s">
        <v>320</v>
      </c>
      <c r="B710" t="s">
        <v>369</v>
      </c>
      <c r="C710" s="2">
        <f>HYPERLINK("https://sao.dolgi.msk.ru/account/1404105989/", 1404105989)</f>
        <v>1404105989</v>
      </c>
      <c r="D710">
        <v>-5321.41</v>
      </c>
    </row>
    <row r="711" spans="1:4" hidden="1" x14ac:dyDescent="0.25">
      <c r="A711" t="s">
        <v>320</v>
      </c>
      <c r="B711" t="s">
        <v>370</v>
      </c>
      <c r="C711" s="2">
        <f>HYPERLINK("https://sao.dolgi.msk.ru/account/1404105815/", 1404105815)</f>
        <v>1404105815</v>
      </c>
      <c r="D711">
        <v>-3919.45</v>
      </c>
    </row>
    <row r="712" spans="1:4" hidden="1" x14ac:dyDescent="0.25">
      <c r="A712" t="s">
        <v>320</v>
      </c>
      <c r="B712" t="s">
        <v>371</v>
      </c>
      <c r="C712" s="2">
        <f>HYPERLINK("https://sao.dolgi.msk.ru/account/1404105698/", 1404105698)</f>
        <v>1404105698</v>
      </c>
      <c r="D712">
        <v>-5792.18</v>
      </c>
    </row>
    <row r="713" spans="1:4" hidden="1" x14ac:dyDescent="0.25">
      <c r="A713" t="s">
        <v>320</v>
      </c>
      <c r="B713" t="s">
        <v>372</v>
      </c>
      <c r="C713" s="2">
        <f>HYPERLINK("https://sao.dolgi.msk.ru/account/1404105209/", 1404105209)</f>
        <v>1404105209</v>
      </c>
      <c r="D713">
        <v>-5447.54</v>
      </c>
    </row>
    <row r="714" spans="1:4" hidden="1" x14ac:dyDescent="0.25">
      <c r="A714" t="s">
        <v>320</v>
      </c>
      <c r="B714" t="s">
        <v>373</v>
      </c>
      <c r="C714" s="2">
        <f>HYPERLINK("https://sao.dolgi.msk.ru/account/1404105823/", 1404105823)</f>
        <v>1404105823</v>
      </c>
      <c r="D714">
        <v>-5642.85</v>
      </c>
    </row>
    <row r="715" spans="1:4" hidden="1" x14ac:dyDescent="0.25">
      <c r="A715" t="s">
        <v>320</v>
      </c>
      <c r="B715" t="s">
        <v>374</v>
      </c>
      <c r="C715" s="2">
        <f>HYPERLINK("https://sao.dolgi.msk.ru/account/1404105073/", 1404105073)</f>
        <v>1404105073</v>
      </c>
      <c r="D715">
        <v>-4401.4399999999996</v>
      </c>
    </row>
    <row r="716" spans="1:4" hidden="1" x14ac:dyDescent="0.25">
      <c r="A716" t="s">
        <v>320</v>
      </c>
      <c r="B716" t="s">
        <v>375</v>
      </c>
      <c r="C716" s="2">
        <f>HYPERLINK("https://sao.dolgi.msk.ru/account/1404105495/", 1404105495)</f>
        <v>1404105495</v>
      </c>
      <c r="D716">
        <v>-3134.97</v>
      </c>
    </row>
    <row r="717" spans="1:4" x14ac:dyDescent="0.25">
      <c r="A717" t="s">
        <v>320</v>
      </c>
      <c r="B717" t="s">
        <v>376</v>
      </c>
      <c r="C717" s="2">
        <f>HYPERLINK("https://sao.dolgi.msk.ru/account/1404105997/", 1404105997)</f>
        <v>1404105997</v>
      </c>
      <c r="D717">
        <v>3831.19</v>
      </c>
    </row>
    <row r="718" spans="1:4" hidden="1" x14ac:dyDescent="0.25">
      <c r="A718" t="s">
        <v>320</v>
      </c>
      <c r="B718" t="s">
        <v>377</v>
      </c>
      <c r="C718" s="2">
        <f>HYPERLINK("https://sao.dolgi.msk.ru/account/1404105364/", 1404105364)</f>
        <v>1404105364</v>
      </c>
      <c r="D718">
        <v>-4623.75</v>
      </c>
    </row>
    <row r="719" spans="1:4" hidden="1" x14ac:dyDescent="0.25">
      <c r="A719" t="s">
        <v>320</v>
      </c>
      <c r="B719" t="s">
        <v>378</v>
      </c>
      <c r="C719" s="2">
        <f>HYPERLINK("https://sao.dolgi.msk.ru/account/1404105081/", 1404105081)</f>
        <v>1404105081</v>
      </c>
      <c r="D719">
        <v>-9197.2000000000007</v>
      </c>
    </row>
    <row r="720" spans="1:4" hidden="1" x14ac:dyDescent="0.25">
      <c r="A720" t="s">
        <v>320</v>
      </c>
      <c r="B720" t="s">
        <v>379</v>
      </c>
      <c r="C720" s="2">
        <f>HYPERLINK("https://sao.dolgi.msk.ru/account/1404106009/", 1404106009)</f>
        <v>1404106009</v>
      </c>
      <c r="D720">
        <v>-4241.07</v>
      </c>
    </row>
    <row r="721" spans="1:4" hidden="1" x14ac:dyDescent="0.25">
      <c r="A721" t="s">
        <v>320</v>
      </c>
      <c r="B721" t="s">
        <v>380</v>
      </c>
      <c r="C721" s="2">
        <f>HYPERLINK("https://sao.dolgi.msk.ru/account/1404104986/", 1404104986)</f>
        <v>1404104986</v>
      </c>
      <c r="D721">
        <v>-6501.71</v>
      </c>
    </row>
    <row r="722" spans="1:4" hidden="1" x14ac:dyDescent="0.25">
      <c r="A722" t="s">
        <v>320</v>
      </c>
      <c r="B722" t="s">
        <v>381</v>
      </c>
      <c r="C722" s="2">
        <f>HYPERLINK("https://sao.dolgi.msk.ru/account/1404105508/", 1404105508)</f>
        <v>1404105508</v>
      </c>
      <c r="D722">
        <v>0</v>
      </c>
    </row>
    <row r="723" spans="1:4" hidden="1" x14ac:dyDescent="0.25">
      <c r="A723" t="s">
        <v>320</v>
      </c>
      <c r="B723" t="s">
        <v>382</v>
      </c>
      <c r="C723" s="2">
        <f>HYPERLINK("https://sao.dolgi.msk.ru/account/1404105102/", 1404105102)</f>
        <v>1404105102</v>
      </c>
      <c r="D723">
        <v>-1868.49</v>
      </c>
    </row>
    <row r="724" spans="1:4" hidden="1" x14ac:dyDescent="0.25">
      <c r="A724" t="s">
        <v>320</v>
      </c>
      <c r="B724" t="s">
        <v>383</v>
      </c>
      <c r="C724" s="2">
        <f>HYPERLINK("https://sao.dolgi.msk.ru/account/1404105831/", 1404105831)</f>
        <v>1404105831</v>
      </c>
      <c r="D724">
        <v>-3134.91</v>
      </c>
    </row>
    <row r="725" spans="1:4" hidden="1" x14ac:dyDescent="0.25">
      <c r="A725" t="s">
        <v>320</v>
      </c>
      <c r="B725" t="s">
        <v>384</v>
      </c>
      <c r="C725" s="2">
        <f>HYPERLINK("https://sao.dolgi.msk.ru/account/1404105129/", 1404105129)</f>
        <v>1404105129</v>
      </c>
      <c r="D725">
        <v>-5870.59</v>
      </c>
    </row>
    <row r="726" spans="1:4" hidden="1" x14ac:dyDescent="0.25">
      <c r="A726" t="s">
        <v>320</v>
      </c>
      <c r="B726" t="s">
        <v>385</v>
      </c>
      <c r="C726" s="2">
        <f>HYPERLINK("https://sao.dolgi.msk.ru/account/1404105858/", 1404105858)</f>
        <v>1404105858</v>
      </c>
      <c r="D726">
        <v>-6904.27</v>
      </c>
    </row>
    <row r="727" spans="1:4" x14ac:dyDescent="0.25">
      <c r="A727" t="s">
        <v>320</v>
      </c>
      <c r="B727" t="s">
        <v>386</v>
      </c>
      <c r="C727" s="2">
        <f>HYPERLINK("https://sao.dolgi.msk.ru/account/1404104994/", 1404104994)</f>
        <v>1404104994</v>
      </c>
      <c r="D727">
        <v>144474.29</v>
      </c>
    </row>
    <row r="728" spans="1:4" hidden="1" x14ac:dyDescent="0.25">
      <c r="A728" t="s">
        <v>320</v>
      </c>
      <c r="B728" t="s">
        <v>387</v>
      </c>
      <c r="C728" s="2">
        <f>HYPERLINK("https://sao.dolgi.msk.ru/account/1404105516/", 1404105516)</f>
        <v>1404105516</v>
      </c>
      <c r="D728">
        <v>-3550.74</v>
      </c>
    </row>
    <row r="729" spans="1:4" hidden="1" x14ac:dyDescent="0.25">
      <c r="A729" t="s">
        <v>320</v>
      </c>
      <c r="B729" t="s">
        <v>388</v>
      </c>
      <c r="C729" s="2">
        <f>HYPERLINK("https://sao.dolgi.msk.ru/account/1404105217/", 1404105217)</f>
        <v>1404105217</v>
      </c>
      <c r="D729">
        <v>-3421.89</v>
      </c>
    </row>
    <row r="730" spans="1:4" hidden="1" x14ac:dyDescent="0.25">
      <c r="A730" t="s">
        <v>320</v>
      </c>
      <c r="B730" t="s">
        <v>389</v>
      </c>
      <c r="C730" s="2">
        <f>HYPERLINK("https://sao.dolgi.msk.ru/account/1404105524/", 1404105524)</f>
        <v>1404105524</v>
      </c>
      <c r="D730">
        <v>-4115.5</v>
      </c>
    </row>
    <row r="731" spans="1:4" hidden="1" x14ac:dyDescent="0.25">
      <c r="A731" t="s">
        <v>320</v>
      </c>
      <c r="B731" t="s">
        <v>390</v>
      </c>
      <c r="C731" s="2">
        <f>HYPERLINK("https://sao.dolgi.msk.ru/account/1404105225/", 1404105225)</f>
        <v>1404105225</v>
      </c>
      <c r="D731">
        <v>-9200.17</v>
      </c>
    </row>
    <row r="732" spans="1:4" hidden="1" x14ac:dyDescent="0.25">
      <c r="A732" t="s">
        <v>320</v>
      </c>
      <c r="B732" t="s">
        <v>391</v>
      </c>
      <c r="C732" s="2">
        <f>HYPERLINK("https://sao.dolgi.msk.ru/account/1404105532/", 1404105532)</f>
        <v>1404105532</v>
      </c>
      <c r="D732">
        <v>-4490.6400000000003</v>
      </c>
    </row>
    <row r="733" spans="1:4" hidden="1" x14ac:dyDescent="0.25">
      <c r="A733" t="s">
        <v>320</v>
      </c>
      <c r="B733" t="s">
        <v>392</v>
      </c>
      <c r="C733" s="2">
        <f>HYPERLINK("https://sao.dolgi.msk.ru/account/1404105268/", 1404105268)</f>
        <v>1404105268</v>
      </c>
      <c r="D733">
        <v>-2599.59</v>
      </c>
    </row>
    <row r="734" spans="1:4" hidden="1" x14ac:dyDescent="0.25">
      <c r="A734" t="s">
        <v>320</v>
      </c>
      <c r="B734" t="s">
        <v>392</v>
      </c>
      <c r="C734" s="2">
        <f>HYPERLINK("https://sao.dolgi.msk.ru/account/1404105719/", 1404105719)</f>
        <v>1404105719</v>
      </c>
      <c r="D734">
        <v>-2214.75</v>
      </c>
    </row>
    <row r="735" spans="1:4" hidden="1" x14ac:dyDescent="0.25">
      <c r="A735" t="s">
        <v>320</v>
      </c>
      <c r="B735" t="s">
        <v>393</v>
      </c>
      <c r="C735" s="2">
        <f>HYPERLINK("https://sao.dolgi.msk.ru/account/1404105233/", 1404105233)</f>
        <v>1404105233</v>
      </c>
      <c r="D735">
        <v>-5808.08</v>
      </c>
    </row>
    <row r="736" spans="1:4" hidden="1" x14ac:dyDescent="0.25">
      <c r="A736" t="s">
        <v>320</v>
      </c>
      <c r="B736" t="s">
        <v>394</v>
      </c>
      <c r="C736" s="2">
        <f>HYPERLINK("https://sao.dolgi.msk.ru/account/1404105241/", 1404105241)</f>
        <v>1404105241</v>
      </c>
      <c r="D736">
        <v>-5354.38</v>
      </c>
    </row>
    <row r="737" spans="1:4" hidden="1" x14ac:dyDescent="0.25">
      <c r="A737" t="s">
        <v>320</v>
      </c>
      <c r="B737" t="s">
        <v>395</v>
      </c>
      <c r="C737" s="2">
        <f>HYPERLINK("https://sao.dolgi.msk.ru/account/1404106017/", 1404106017)</f>
        <v>1404106017</v>
      </c>
      <c r="D737">
        <v>-2064.0700000000002</v>
      </c>
    </row>
    <row r="738" spans="1:4" x14ac:dyDescent="0.25">
      <c r="A738" t="s">
        <v>320</v>
      </c>
      <c r="B738" t="s">
        <v>396</v>
      </c>
      <c r="C738" s="2">
        <f>HYPERLINK("https://sao.dolgi.msk.ru/account/1404106025/", 1404106025)</f>
        <v>1404106025</v>
      </c>
      <c r="D738">
        <v>64.819999999999993</v>
      </c>
    </row>
    <row r="739" spans="1:4" x14ac:dyDescent="0.25">
      <c r="A739" t="s">
        <v>320</v>
      </c>
      <c r="B739" t="s">
        <v>397</v>
      </c>
      <c r="C739" s="2">
        <f>HYPERLINK("https://sao.dolgi.msk.ru/account/1404105866/", 1404105866)</f>
        <v>1404105866</v>
      </c>
      <c r="D739">
        <v>5063.6400000000003</v>
      </c>
    </row>
    <row r="740" spans="1:4" hidden="1" x14ac:dyDescent="0.25">
      <c r="A740" t="s">
        <v>320</v>
      </c>
      <c r="B740" t="s">
        <v>398</v>
      </c>
      <c r="C740" s="2">
        <f>HYPERLINK("https://sao.dolgi.msk.ru/account/1404105372/", 1404105372)</f>
        <v>1404105372</v>
      </c>
      <c r="D740">
        <v>-4874.04</v>
      </c>
    </row>
    <row r="741" spans="1:4" hidden="1" x14ac:dyDescent="0.25">
      <c r="A741" t="s">
        <v>320</v>
      </c>
      <c r="B741" t="s">
        <v>399</v>
      </c>
      <c r="C741" s="2">
        <f>HYPERLINK("https://sao.dolgi.msk.ru/account/1404105559/", 1404105559)</f>
        <v>1404105559</v>
      </c>
      <c r="D741">
        <v>-7257.42</v>
      </c>
    </row>
    <row r="742" spans="1:4" hidden="1" x14ac:dyDescent="0.25">
      <c r="A742" t="s">
        <v>320</v>
      </c>
      <c r="B742" t="s">
        <v>400</v>
      </c>
      <c r="C742" s="2">
        <f>HYPERLINK("https://sao.dolgi.msk.ru/account/1404106033/", 1404106033)</f>
        <v>1404106033</v>
      </c>
      <c r="D742">
        <v>-6433.88</v>
      </c>
    </row>
    <row r="743" spans="1:4" x14ac:dyDescent="0.25">
      <c r="A743" t="s">
        <v>320</v>
      </c>
      <c r="B743" t="s">
        <v>401</v>
      </c>
      <c r="C743" s="2">
        <f>HYPERLINK("https://sao.dolgi.msk.ru/account/1404105567/", 1404105567)</f>
        <v>1404105567</v>
      </c>
      <c r="D743">
        <v>4559.88</v>
      </c>
    </row>
    <row r="744" spans="1:4" hidden="1" x14ac:dyDescent="0.25">
      <c r="A744" t="s">
        <v>320</v>
      </c>
      <c r="B744" t="s">
        <v>402</v>
      </c>
      <c r="C744" s="2">
        <f>HYPERLINK("https://sao.dolgi.msk.ru/account/1404105399/", 1404105399)</f>
        <v>1404105399</v>
      </c>
      <c r="D744">
        <v>-5408.59</v>
      </c>
    </row>
    <row r="745" spans="1:4" x14ac:dyDescent="0.25">
      <c r="A745" t="s">
        <v>320</v>
      </c>
      <c r="B745" t="s">
        <v>403</v>
      </c>
      <c r="C745" s="2">
        <f>HYPERLINK("https://sao.dolgi.msk.ru/account/1404105874/", 1404105874)</f>
        <v>1404105874</v>
      </c>
      <c r="D745">
        <v>9661.8799999999992</v>
      </c>
    </row>
    <row r="746" spans="1:4" hidden="1" x14ac:dyDescent="0.25">
      <c r="A746" t="s">
        <v>320</v>
      </c>
      <c r="B746" t="s">
        <v>404</v>
      </c>
      <c r="C746" s="2">
        <f>HYPERLINK("https://sao.dolgi.msk.ru/account/1404105401/", 1404105401)</f>
        <v>1404105401</v>
      </c>
      <c r="D746">
        <v>-4921.38</v>
      </c>
    </row>
    <row r="747" spans="1:4" hidden="1" x14ac:dyDescent="0.25">
      <c r="A747" t="s">
        <v>320</v>
      </c>
      <c r="B747" t="s">
        <v>405</v>
      </c>
      <c r="C747" s="2">
        <f>HYPERLINK("https://sao.dolgi.msk.ru/account/1404105006/", 1404105006)</f>
        <v>1404105006</v>
      </c>
      <c r="D747">
        <v>-6100.06</v>
      </c>
    </row>
    <row r="748" spans="1:4" hidden="1" x14ac:dyDescent="0.25">
      <c r="A748" t="s">
        <v>320</v>
      </c>
      <c r="B748" t="s">
        <v>406</v>
      </c>
      <c r="C748" s="2">
        <f>HYPERLINK("https://sao.dolgi.msk.ru/account/1404106041/", 1404106041)</f>
        <v>1404106041</v>
      </c>
      <c r="D748">
        <v>-9794.81</v>
      </c>
    </row>
    <row r="749" spans="1:4" hidden="1" x14ac:dyDescent="0.25">
      <c r="A749" t="s">
        <v>320</v>
      </c>
      <c r="B749" t="s">
        <v>407</v>
      </c>
      <c r="C749" s="2">
        <f>HYPERLINK("https://sao.dolgi.msk.ru/account/1404105575/", 1404105575)</f>
        <v>1404105575</v>
      </c>
      <c r="D749">
        <v>0</v>
      </c>
    </row>
    <row r="750" spans="1:4" hidden="1" x14ac:dyDescent="0.25">
      <c r="A750" t="s">
        <v>320</v>
      </c>
      <c r="B750" t="s">
        <v>408</v>
      </c>
      <c r="C750" s="2">
        <f>HYPERLINK("https://sao.dolgi.msk.ru/account/1404105727/", 1404105727)</f>
        <v>1404105727</v>
      </c>
      <c r="D750">
        <v>-5508.19</v>
      </c>
    </row>
    <row r="751" spans="1:4" hidden="1" x14ac:dyDescent="0.25">
      <c r="A751" t="s">
        <v>320</v>
      </c>
      <c r="B751" t="s">
        <v>409</v>
      </c>
      <c r="C751" s="2">
        <f>HYPERLINK("https://sao.dolgi.msk.ru/account/1404105137/", 1404105137)</f>
        <v>1404105137</v>
      </c>
      <c r="D751">
        <v>-5649.24</v>
      </c>
    </row>
    <row r="752" spans="1:4" x14ac:dyDescent="0.25">
      <c r="A752" t="s">
        <v>320</v>
      </c>
      <c r="B752" t="s">
        <v>410</v>
      </c>
      <c r="C752" s="2">
        <f>HYPERLINK("https://sao.dolgi.msk.ru/account/1404105428/", 1404105428)</f>
        <v>1404105428</v>
      </c>
      <c r="D752">
        <v>5031.3999999999996</v>
      </c>
    </row>
    <row r="753" spans="1:4" hidden="1" x14ac:dyDescent="0.25">
      <c r="A753" t="s">
        <v>320</v>
      </c>
      <c r="B753" t="s">
        <v>411</v>
      </c>
      <c r="C753" s="2">
        <f>HYPERLINK("https://sao.dolgi.msk.ru/account/1404105735/", 1404105735)</f>
        <v>1404105735</v>
      </c>
      <c r="D753">
        <v>-3610.84</v>
      </c>
    </row>
    <row r="754" spans="1:4" hidden="1" x14ac:dyDescent="0.25">
      <c r="A754" t="s">
        <v>412</v>
      </c>
      <c r="B754" t="s">
        <v>5</v>
      </c>
      <c r="C754" s="2">
        <f>HYPERLINK("https://sao.dolgi.msk.ru/account/1404179478/", 1404179478)</f>
        <v>1404179478</v>
      </c>
      <c r="D754">
        <v>0</v>
      </c>
    </row>
    <row r="755" spans="1:4" x14ac:dyDescent="0.25">
      <c r="A755" t="s">
        <v>412</v>
      </c>
      <c r="B755" t="s">
        <v>6</v>
      </c>
      <c r="C755" s="2">
        <f>HYPERLINK("https://sao.dolgi.msk.ru/account/1404179144/", 1404179144)</f>
        <v>1404179144</v>
      </c>
      <c r="D755">
        <v>34753.879999999997</v>
      </c>
    </row>
    <row r="756" spans="1:4" x14ac:dyDescent="0.25">
      <c r="A756" t="s">
        <v>412</v>
      </c>
      <c r="B756" t="s">
        <v>7</v>
      </c>
      <c r="C756" s="2">
        <f>HYPERLINK("https://sao.dolgi.msk.ru/account/1404179013/", 1404179013)</f>
        <v>1404179013</v>
      </c>
      <c r="D756">
        <v>7477.47</v>
      </c>
    </row>
    <row r="757" spans="1:4" x14ac:dyDescent="0.25">
      <c r="A757" t="s">
        <v>412</v>
      </c>
      <c r="B757" t="s">
        <v>8</v>
      </c>
      <c r="C757" s="2">
        <f>HYPERLINK("https://sao.dolgi.msk.ru/account/1404179574/", 1404179574)</f>
        <v>1404179574</v>
      </c>
      <c r="D757">
        <v>6435.79</v>
      </c>
    </row>
    <row r="758" spans="1:4" hidden="1" x14ac:dyDescent="0.25">
      <c r="A758" t="s">
        <v>412</v>
      </c>
      <c r="B758" t="s">
        <v>9</v>
      </c>
      <c r="C758" s="2">
        <f>HYPERLINK("https://sao.dolgi.msk.ru/account/1404179312/", 1404179312)</f>
        <v>1404179312</v>
      </c>
      <c r="D758">
        <v>-3020.66</v>
      </c>
    </row>
    <row r="759" spans="1:4" hidden="1" x14ac:dyDescent="0.25">
      <c r="A759" t="s">
        <v>412</v>
      </c>
      <c r="B759" t="s">
        <v>10</v>
      </c>
      <c r="C759" s="2">
        <f>HYPERLINK("https://sao.dolgi.msk.ru/account/1404178758/", 1404178758)</f>
        <v>1404178758</v>
      </c>
      <c r="D759">
        <v>-3162.15</v>
      </c>
    </row>
    <row r="760" spans="1:4" hidden="1" x14ac:dyDescent="0.25">
      <c r="A760" t="s">
        <v>412</v>
      </c>
      <c r="B760" t="s">
        <v>11</v>
      </c>
      <c r="C760" s="2">
        <f>HYPERLINK("https://sao.dolgi.msk.ru/account/1404179371/", 1404179371)</f>
        <v>1404179371</v>
      </c>
      <c r="D760">
        <v>0</v>
      </c>
    </row>
    <row r="761" spans="1:4" hidden="1" x14ac:dyDescent="0.25">
      <c r="A761" t="s">
        <v>412</v>
      </c>
      <c r="B761" t="s">
        <v>12</v>
      </c>
      <c r="C761" s="2">
        <f>HYPERLINK("https://sao.dolgi.msk.ru/account/1404179056/", 1404179056)</f>
        <v>1404179056</v>
      </c>
      <c r="D761">
        <v>-3929.73</v>
      </c>
    </row>
    <row r="762" spans="1:4" hidden="1" x14ac:dyDescent="0.25">
      <c r="A762" t="s">
        <v>412</v>
      </c>
      <c r="B762" t="s">
        <v>13</v>
      </c>
      <c r="C762" s="2">
        <f>HYPERLINK("https://sao.dolgi.msk.ru/account/1404179064/", 1404179064)</f>
        <v>1404179064</v>
      </c>
      <c r="D762">
        <v>-4544.2299999999996</v>
      </c>
    </row>
    <row r="763" spans="1:4" hidden="1" x14ac:dyDescent="0.25">
      <c r="A763" t="s">
        <v>412</v>
      </c>
      <c r="B763" t="s">
        <v>14</v>
      </c>
      <c r="C763" s="2">
        <f>HYPERLINK("https://sao.dolgi.msk.ru/account/1404179486/", 1404179486)</f>
        <v>1404179486</v>
      </c>
      <c r="D763">
        <v>-5039.46</v>
      </c>
    </row>
    <row r="764" spans="1:4" hidden="1" x14ac:dyDescent="0.25">
      <c r="A764" t="s">
        <v>412</v>
      </c>
      <c r="B764" t="s">
        <v>15</v>
      </c>
      <c r="C764" s="2">
        <f>HYPERLINK("https://sao.dolgi.msk.ru/account/1404179582/", 1404179582)</f>
        <v>1404179582</v>
      </c>
      <c r="D764">
        <v>-7974.21</v>
      </c>
    </row>
    <row r="765" spans="1:4" hidden="1" x14ac:dyDescent="0.25">
      <c r="A765" t="s">
        <v>412</v>
      </c>
      <c r="B765" t="s">
        <v>16</v>
      </c>
      <c r="C765" s="2">
        <f>HYPERLINK("https://sao.dolgi.msk.ru/account/1404179603/", 1404179603)</f>
        <v>1404179603</v>
      </c>
      <c r="D765">
        <v>-4430.1899999999996</v>
      </c>
    </row>
    <row r="766" spans="1:4" hidden="1" x14ac:dyDescent="0.25">
      <c r="A766" t="s">
        <v>412</v>
      </c>
      <c r="B766" t="s">
        <v>17</v>
      </c>
      <c r="C766" s="2">
        <f>HYPERLINK("https://sao.dolgi.msk.ru/account/1404179136/", 1404179136)</f>
        <v>1404179136</v>
      </c>
      <c r="D766">
        <v>-6354.02</v>
      </c>
    </row>
    <row r="767" spans="1:4" hidden="1" x14ac:dyDescent="0.25">
      <c r="A767" t="s">
        <v>412</v>
      </c>
      <c r="B767" t="s">
        <v>18</v>
      </c>
      <c r="C767" s="2">
        <f>HYPERLINK("https://sao.dolgi.msk.ru/account/1404179611/", 1404179611)</f>
        <v>1404179611</v>
      </c>
      <c r="D767">
        <v>-4556.1499999999996</v>
      </c>
    </row>
    <row r="768" spans="1:4" hidden="1" x14ac:dyDescent="0.25">
      <c r="A768" t="s">
        <v>412</v>
      </c>
      <c r="B768" t="s">
        <v>19</v>
      </c>
      <c r="C768" s="2">
        <f>HYPERLINK("https://sao.dolgi.msk.ru/account/1404179048/", 1404179048)</f>
        <v>1404179048</v>
      </c>
      <c r="D768">
        <v>-5215.6899999999996</v>
      </c>
    </row>
    <row r="769" spans="1:4" hidden="1" x14ac:dyDescent="0.25">
      <c r="A769" t="s">
        <v>412</v>
      </c>
      <c r="B769" t="s">
        <v>20</v>
      </c>
      <c r="C769" s="2">
        <f>HYPERLINK("https://sao.dolgi.msk.ru/account/1404179208/", 1404179208)</f>
        <v>1404179208</v>
      </c>
      <c r="D769">
        <v>0</v>
      </c>
    </row>
    <row r="770" spans="1:4" hidden="1" x14ac:dyDescent="0.25">
      <c r="A770" t="s">
        <v>412</v>
      </c>
      <c r="B770" t="s">
        <v>21</v>
      </c>
      <c r="C770" s="2">
        <f>HYPERLINK("https://sao.dolgi.msk.ru/account/1404179494/", 1404179494)</f>
        <v>1404179494</v>
      </c>
      <c r="D770">
        <v>-7244.98</v>
      </c>
    </row>
    <row r="771" spans="1:4" x14ac:dyDescent="0.25">
      <c r="A771" t="s">
        <v>412</v>
      </c>
      <c r="B771" t="s">
        <v>22</v>
      </c>
      <c r="C771" s="2">
        <f>HYPERLINK("https://sao.dolgi.msk.ru/account/1404179291/", 1404179291)</f>
        <v>1404179291</v>
      </c>
      <c r="D771">
        <v>9920.59</v>
      </c>
    </row>
    <row r="772" spans="1:4" hidden="1" x14ac:dyDescent="0.25">
      <c r="A772" t="s">
        <v>412</v>
      </c>
      <c r="B772" t="s">
        <v>23</v>
      </c>
      <c r="C772" s="2">
        <f>HYPERLINK("https://sao.dolgi.msk.ru/account/1404178803/", 1404178803)</f>
        <v>1404178803</v>
      </c>
      <c r="D772">
        <v>-2626.27</v>
      </c>
    </row>
    <row r="773" spans="1:4" hidden="1" x14ac:dyDescent="0.25">
      <c r="A773" t="s">
        <v>412</v>
      </c>
      <c r="B773" t="s">
        <v>24</v>
      </c>
      <c r="C773" s="2">
        <f>HYPERLINK("https://sao.dolgi.msk.ru/account/1404178918/", 1404178918)</f>
        <v>1404178918</v>
      </c>
      <c r="D773">
        <v>0</v>
      </c>
    </row>
    <row r="774" spans="1:4" x14ac:dyDescent="0.25">
      <c r="A774" t="s">
        <v>412</v>
      </c>
      <c r="B774" t="s">
        <v>25</v>
      </c>
      <c r="C774" s="2">
        <f>HYPERLINK("https://sao.dolgi.msk.ru/account/1404179152/", 1404179152)</f>
        <v>1404179152</v>
      </c>
      <c r="D774">
        <v>79560.800000000003</v>
      </c>
    </row>
    <row r="775" spans="1:4" hidden="1" x14ac:dyDescent="0.25">
      <c r="A775" t="s">
        <v>412</v>
      </c>
      <c r="B775" t="s">
        <v>26</v>
      </c>
      <c r="C775" s="2">
        <f>HYPERLINK("https://sao.dolgi.msk.ru/account/1404178811/", 1404178811)</f>
        <v>1404178811</v>
      </c>
      <c r="D775">
        <v>-5336.56</v>
      </c>
    </row>
    <row r="776" spans="1:4" hidden="1" x14ac:dyDescent="0.25">
      <c r="A776" t="s">
        <v>412</v>
      </c>
      <c r="B776" t="s">
        <v>27</v>
      </c>
      <c r="C776" s="2">
        <f>HYPERLINK("https://sao.dolgi.msk.ru/account/1404179216/", 1404179216)</f>
        <v>1404179216</v>
      </c>
      <c r="D776">
        <v>-3894.24</v>
      </c>
    </row>
    <row r="777" spans="1:4" x14ac:dyDescent="0.25">
      <c r="A777" t="s">
        <v>412</v>
      </c>
      <c r="B777" t="s">
        <v>28</v>
      </c>
      <c r="C777" s="2">
        <f>HYPERLINK("https://sao.dolgi.msk.ru/account/1404178926/", 1404178926)</f>
        <v>1404178926</v>
      </c>
      <c r="D777">
        <v>22960.92</v>
      </c>
    </row>
    <row r="778" spans="1:4" hidden="1" x14ac:dyDescent="0.25">
      <c r="A778" t="s">
        <v>412</v>
      </c>
      <c r="B778" t="s">
        <v>29</v>
      </c>
      <c r="C778" s="2">
        <f>HYPERLINK("https://sao.dolgi.msk.ru/account/1404179638/", 1404179638)</f>
        <v>1404179638</v>
      </c>
      <c r="D778">
        <v>-5288.34</v>
      </c>
    </row>
    <row r="779" spans="1:4" hidden="1" x14ac:dyDescent="0.25">
      <c r="A779" t="s">
        <v>412</v>
      </c>
      <c r="B779" t="s">
        <v>30</v>
      </c>
      <c r="C779" s="2">
        <f>HYPERLINK("https://sao.dolgi.msk.ru/account/1404179646/", 1404179646)</f>
        <v>1404179646</v>
      </c>
      <c r="D779">
        <v>-3952.56</v>
      </c>
    </row>
    <row r="780" spans="1:4" hidden="1" x14ac:dyDescent="0.25">
      <c r="A780" t="s">
        <v>412</v>
      </c>
      <c r="B780" t="s">
        <v>31</v>
      </c>
      <c r="C780" s="2">
        <f>HYPERLINK("https://sao.dolgi.msk.ru/account/1404179507/", 1404179507)</f>
        <v>1404179507</v>
      </c>
      <c r="D780">
        <v>-3636.77</v>
      </c>
    </row>
    <row r="781" spans="1:4" x14ac:dyDescent="0.25">
      <c r="A781" t="s">
        <v>412</v>
      </c>
      <c r="B781" t="s">
        <v>32</v>
      </c>
      <c r="C781" s="2">
        <f>HYPERLINK("https://sao.dolgi.msk.ru/account/1404179427/", 1404179427)</f>
        <v>1404179427</v>
      </c>
      <c r="D781">
        <v>1580.37</v>
      </c>
    </row>
    <row r="782" spans="1:4" hidden="1" x14ac:dyDescent="0.25">
      <c r="A782" t="s">
        <v>412</v>
      </c>
      <c r="B782" t="s">
        <v>33</v>
      </c>
      <c r="C782" s="2">
        <f>HYPERLINK("https://sao.dolgi.msk.ru/account/1404179005/", 1404179005)</f>
        <v>1404179005</v>
      </c>
      <c r="D782">
        <v>-3623.77</v>
      </c>
    </row>
    <row r="783" spans="1:4" x14ac:dyDescent="0.25">
      <c r="A783" t="s">
        <v>412</v>
      </c>
      <c r="B783" t="s">
        <v>34</v>
      </c>
      <c r="C783" s="2">
        <f>HYPERLINK("https://sao.dolgi.msk.ru/account/1404179435/", 1404179435)</f>
        <v>1404179435</v>
      </c>
      <c r="D783">
        <v>753.54</v>
      </c>
    </row>
    <row r="784" spans="1:4" hidden="1" x14ac:dyDescent="0.25">
      <c r="A784" t="s">
        <v>412</v>
      </c>
      <c r="B784" t="s">
        <v>35</v>
      </c>
      <c r="C784" s="2">
        <f>HYPERLINK("https://sao.dolgi.msk.ru/account/1404179267/", 1404179267)</f>
        <v>1404179267</v>
      </c>
      <c r="D784">
        <v>-3594.5</v>
      </c>
    </row>
    <row r="785" spans="1:4" hidden="1" x14ac:dyDescent="0.25">
      <c r="A785" t="s">
        <v>412</v>
      </c>
      <c r="B785" t="s">
        <v>36</v>
      </c>
      <c r="C785" s="2">
        <f>HYPERLINK("https://sao.dolgi.msk.ru/account/1404179443/", 1404179443)</f>
        <v>1404179443</v>
      </c>
      <c r="D785">
        <v>-4173.75</v>
      </c>
    </row>
    <row r="786" spans="1:4" x14ac:dyDescent="0.25">
      <c r="A786" t="s">
        <v>412</v>
      </c>
      <c r="B786" t="s">
        <v>37</v>
      </c>
      <c r="C786" s="2">
        <f>HYPERLINK("https://sao.dolgi.msk.ru/account/1404179128/", 1404179128)</f>
        <v>1404179128</v>
      </c>
      <c r="D786">
        <v>8775.91</v>
      </c>
    </row>
    <row r="787" spans="1:4" x14ac:dyDescent="0.25">
      <c r="A787" t="s">
        <v>412</v>
      </c>
      <c r="B787" t="s">
        <v>38</v>
      </c>
      <c r="C787" s="2">
        <f>HYPERLINK("https://sao.dolgi.msk.ru/account/1404179566/", 1404179566)</f>
        <v>1404179566</v>
      </c>
      <c r="D787">
        <v>27554.1</v>
      </c>
    </row>
    <row r="788" spans="1:4" hidden="1" x14ac:dyDescent="0.25">
      <c r="A788" t="s">
        <v>412</v>
      </c>
      <c r="B788" t="s">
        <v>39</v>
      </c>
      <c r="C788" s="2">
        <f>HYPERLINK("https://sao.dolgi.msk.ru/account/1404178774/", 1404178774)</f>
        <v>1404178774</v>
      </c>
      <c r="D788">
        <v>-5114.3599999999997</v>
      </c>
    </row>
    <row r="789" spans="1:4" x14ac:dyDescent="0.25">
      <c r="A789" t="s">
        <v>412</v>
      </c>
      <c r="B789" t="s">
        <v>40</v>
      </c>
      <c r="C789" s="2">
        <f>HYPERLINK("https://sao.dolgi.msk.ru/account/1404179195/", 1404179195)</f>
        <v>1404179195</v>
      </c>
      <c r="D789">
        <v>21505.32</v>
      </c>
    </row>
    <row r="790" spans="1:4" hidden="1" x14ac:dyDescent="0.25">
      <c r="A790" t="s">
        <v>412</v>
      </c>
      <c r="B790" t="s">
        <v>41</v>
      </c>
      <c r="C790" s="2">
        <f>HYPERLINK("https://sao.dolgi.msk.ru/account/1404178889/", 1404178889)</f>
        <v>1404178889</v>
      </c>
      <c r="D790">
        <v>-5788.68</v>
      </c>
    </row>
    <row r="791" spans="1:4" hidden="1" x14ac:dyDescent="0.25">
      <c r="A791" t="s">
        <v>412</v>
      </c>
      <c r="B791" t="s">
        <v>42</v>
      </c>
      <c r="C791" s="2">
        <f>HYPERLINK("https://sao.dolgi.msk.ru/account/1404178782/", 1404178782)</f>
        <v>1404178782</v>
      </c>
      <c r="D791">
        <v>-4887.42</v>
      </c>
    </row>
    <row r="792" spans="1:4" hidden="1" x14ac:dyDescent="0.25">
      <c r="A792" t="s">
        <v>412</v>
      </c>
      <c r="B792" t="s">
        <v>43</v>
      </c>
      <c r="C792" s="2">
        <f>HYPERLINK("https://sao.dolgi.msk.ru/account/1404178897/", 1404178897)</f>
        <v>1404178897</v>
      </c>
      <c r="D792">
        <v>-4841.66</v>
      </c>
    </row>
    <row r="793" spans="1:4" hidden="1" x14ac:dyDescent="0.25">
      <c r="A793" t="s">
        <v>412</v>
      </c>
      <c r="B793" t="s">
        <v>44</v>
      </c>
      <c r="C793" s="2">
        <f>HYPERLINK("https://sao.dolgi.msk.ru/account/1404179275/", 1404179275)</f>
        <v>1404179275</v>
      </c>
      <c r="D793">
        <v>-6652.63</v>
      </c>
    </row>
    <row r="794" spans="1:4" hidden="1" x14ac:dyDescent="0.25">
      <c r="A794" t="s">
        <v>412</v>
      </c>
      <c r="B794" t="s">
        <v>45</v>
      </c>
      <c r="C794" s="2">
        <f>HYPERLINK("https://sao.dolgi.msk.ru/account/1404179283/", 1404179283)</f>
        <v>1404179283</v>
      </c>
      <c r="D794">
        <v>-1861.57</v>
      </c>
    </row>
    <row r="795" spans="1:4" hidden="1" x14ac:dyDescent="0.25">
      <c r="A795" t="s">
        <v>412</v>
      </c>
      <c r="B795" t="s">
        <v>46</v>
      </c>
      <c r="C795" s="2">
        <f>HYPERLINK("https://sao.dolgi.msk.ru/account/1404179021/", 1404179021)</f>
        <v>1404179021</v>
      </c>
      <c r="D795">
        <v>-4298.22</v>
      </c>
    </row>
    <row r="796" spans="1:4" hidden="1" x14ac:dyDescent="0.25">
      <c r="A796" t="s">
        <v>412</v>
      </c>
      <c r="B796" t="s">
        <v>47</v>
      </c>
      <c r="C796" s="2">
        <f>HYPERLINK("https://sao.dolgi.msk.ru/account/1404179072/", 1404179072)</f>
        <v>1404179072</v>
      </c>
      <c r="D796">
        <v>0</v>
      </c>
    </row>
    <row r="797" spans="1:4" hidden="1" x14ac:dyDescent="0.25">
      <c r="A797" t="s">
        <v>412</v>
      </c>
      <c r="B797" t="s">
        <v>48</v>
      </c>
      <c r="C797" s="2">
        <f>HYPERLINK("https://sao.dolgi.msk.ru/account/1404179515/", 1404179515)</f>
        <v>1404179515</v>
      </c>
      <c r="D797">
        <v>-3645.16</v>
      </c>
    </row>
    <row r="798" spans="1:4" hidden="1" x14ac:dyDescent="0.25">
      <c r="A798" t="s">
        <v>412</v>
      </c>
      <c r="B798" t="s">
        <v>49</v>
      </c>
      <c r="C798" s="2">
        <f>HYPERLINK("https://sao.dolgi.msk.ru/account/1404178934/", 1404178934)</f>
        <v>1404178934</v>
      </c>
      <c r="D798">
        <v>-5428.04</v>
      </c>
    </row>
    <row r="799" spans="1:4" hidden="1" x14ac:dyDescent="0.25">
      <c r="A799" t="s">
        <v>412</v>
      </c>
      <c r="B799" t="s">
        <v>50</v>
      </c>
      <c r="C799" s="2">
        <f>HYPERLINK("https://sao.dolgi.msk.ru/account/1404179523/", 1404179523)</f>
        <v>1404179523</v>
      </c>
      <c r="D799">
        <v>0</v>
      </c>
    </row>
    <row r="800" spans="1:4" x14ac:dyDescent="0.25">
      <c r="A800" t="s">
        <v>412</v>
      </c>
      <c r="B800" t="s">
        <v>51</v>
      </c>
      <c r="C800" s="2">
        <f>HYPERLINK("https://sao.dolgi.msk.ru/account/1404178942/", 1404178942)</f>
        <v>1404178942</v>
      </c>
      <c r="D800">
        <v>31489.57</v>
      </c>
    </row>
    <row r="801" spans="1:4" hidden="1" x14ac:dyDescent="0.25">
      <c r="A801" t="s">
        <v>412</v>
      </c>
      <c r="B801" t="s">
        <v>52</v>
      </c>
      <c r="C801" s="2">
        <f>HYPERLINK("https://sao.dolgi.msk.ru/account/1404179224/", 1404179224)</f>
        <v>1404179224</v>
      </c>
      <c r="D801">
        <v>0</v>
      </c>
    </row>
    <row r="802" spans="1:4" hidden="1" x14ac:dyDescent="0.25">
      <c r="A802" t="s">
        <v>412</v>
      </c>
      <c r="B802" t="s">
        <v>52</v>
      </c>
      <c r="C802" s="2">
        <f>HYPERLINK("https://sao.dolgi.msk.ru/account/1404179232/", 1404179232)</f>
        <v>1404179232</v>
      </c>
      <c r="D802">
        <v>-3903.25</v>
      </c>
    </row>
    <row r="803" spans="1:4" x14ac:dyDescent="0.25">
      <c r="A803" t="s">
        <v>412</v>
      </c>
      <c r="B803" t="s">
        <v>53</v>
      </c>
      <c r="C803" s="2">
        <f>HYPERLINK("https://sao.dolgi.msk.ru/account/1404179654/", 1404179654)</f>
        <v>1404179654</v>
      </c>
      <c r="D803">
        <v>5048.2</v>
      </c>
    </row>
    <row r="804" spans="1:4" hidden="1" x14ac:dyDescent="0.25">
      <c r="A804" t="s">
        <v>412</v>
      </c>
      <c r="B804" t="s">
        <v>54</v>
      </c>
      <c r="C804" s="2">
        <f>HYPERLINK("https://sao.dolgi.msk.ru/account/1404178838/", 1404178838)</f>
        <v>1404178838</v>
      </c>
      <c r="D804">
        <v>-3127.41</v>
      </c>
    </row>
    <row r="805" spans="1:4" x14ac:dyDescent="0.25">
      <c r="A805" t="s">
        <v>412</v>
      </c>
      <c r="B805" t="s">
        <v>55</v>
      </c>
      <c r="C805" s="2">
        <f>HYPERLINK("https://sao.dolgi.msk.ru/account/1404179339/", 1404179339)</f>
        <v>1404179339</v>
      </c>
      <c r="D805">
        <v>332.64</v>
      </c>
    </row>
    <row r="806" spans="1:4" hidden="1" x14ac:dyDescent="0.25">
      <c r="A806" t="s">
        <v>412</v>
      </c>
      <c r="B806" t="s">
        <v>56</v>
      </c>
      <c r="C806" s="2">
        <f>HYPERLINK("https://sao.dolgi.msk.ru/account/1404179531/", 1404179531)</f>
        <v>1404179531</v>
      </c>
      <c r="D806">
        <v>-1626.02</v>
      </c>
    </row>
    <row r="807" spans="1:4" hidden="1" x14ac:dyDescent="0.25">
      <c r="A807" t="s">
        <v>412</v>
      </c>
      <c r="B807" t="s">
        <v>57</v>
      </c>
      <c r="C807" s="2">
        <f>HYPERLINK("https://sao.dolgi.msk.ru/account/1404179304/", 1404179304)</f>
        <v>1404179304</v>
      </c>
      <c r="D807">
        <v>-6380.52</v>
      </c>
    </row>
    <row r="808" spans="1:4" hidden="1" x14ac:dyDescent="0.25">
      <c r="A808" t="s">
        <v>412</v>
      </c>
      <c r="B808" t="s">
        <v>58</v>
      </c>
      <c r="C808" s="2">
        <f>HYPERLINK("https://sao.dolgi.msk.ru/account/1404178846/", 1404178846)</f>
        <v>1404178846</v>
      </c>
      <c r="D808">
        <v>0</v>
      </c>
    </row>
    <row r="809" spans="1:4" hidden="1" x14ac:dyDescent="0.25">
      <c r="A809" t="s">
        <v>412</v>
      </c>
      <c r="B809" t="s">
        <v>59</v>
      </c>
      <c r="C809" s="2">
        <f>HYPERLINK("https://sao.dolgi.msk.ru/account/1404179099/", 1404179099)</f>
        <v>1404179099</v>
      </c>
      <c r="D809">
        <v>-5361.53</v>
      </c>
    </row>
    <row r="810" spans="1:4" hidden="1" x14ac:dyDescent="0.25">
      <c r="A810" t="s">
        <v>412</v>
      </c>
      <c r="B810" t="s">
        <v>60</v>
      </c>
      <c r="C810" s="2">
        <f>HYPERLINK("https://sao.dolgi.msk.ru/account/1404179347/", 1404179347)</f>
        <v>1404179347</v>
      </c>
      <c r="D810">
        <v>-2186.9299999999998</v>
      </c>
    </row>
    <row r="811" spans="1:4" hidden="1" x14ac:dyDescent="0.25">
      <c r="A811" t="s">
        <v>412</v>
      </c>
      <c r="B811" t="s">
        <v>61</v>
      </c>
      <c r="C811" s="2">
        <f>HYPERLINK("https://sao.dolgi.msk.ru/account/1404178969/", 1404178969)</f>
        <v>1404178969</v>
      </c>
      <c r="D811">
        <v>-4647.1000000000004</v>
      </c>
    </row>
    <row r="812" spans="1:4" hidden="1" x14ac:dyDescent="0.25">
      <c r="A812" t="s">
        <v>412</v>
      </c>
      <c r="B812" t="s">
        <v>62</v>
      </c>
      <c r="C812" s="2">
        <f>HYPERLINK("https://sao.dolgi.msk.ru/account/1404179558/", 1404179558)</f>
        <v>1404179558</v>
      </c>
      <c r="D812">
        <v>-6703.4</v>
      </c>
    </row>
    <row r="813" spans="1:4" hidden="1" x14ac:dyDescent="0.25">
      <c r="A813" t="s">
        <v>412</v>
      </c>
      <c r="B813" t="s">
        <v>63</v>
      </c>
      <c r="C813" s="2">
        <f>HYPERLINK("https://sao.dolgi.msk.ru/account/1404179355/", 1404179355)</f>
        <v>1404179355</v>
      </c>
      <c r="D813">
        <v>-6276.91</v>
      </c>
    </row>
    <row r="814" spans="1:4" x14ac:dyDescent="0.25">
      <c r="A814" t="s">
        <v>412</v>
      </c>
      <c r="B814" t="s">
        <v>64</v>
      </c>
      <c r="C814" s="2">
        <f>HYPERLINK("https://sao.dolgi.msk.ru/account/1404179179/", 1404179179)</f>
        <v>1404179179</v>
      </c>
      <c r="D814">
        <v>976.21</v>
      </c>
    </row>
    <row r="815" spans="1:4" hidden="1" x14ac:dyDescent="0.25">
      <c r="A815" t="s">
        <v>412</v>
      </c>
      <c r="B815" t="s">
        <v>64</v>
      </c>
      <c r="C815" s="2">
        <f>HYPERLINK("https://sao.dolgi.msk.ru/account/1404179451/", 1404179451)</f>
        <v>1404179451</v>
      </c>
      <c r="D815">
        <v>-1722.95</v>
      </c>
    </row>
    <row r="816" spans="1:4" hidden="1" x14ac:dyDescent="0.25">
      <c r="A816" t="s">
        <v>412</v>
      </c>
      <c r="B816" t="s">
        <v>65</v>
      </c>
      <c r="C816" s="2">
        <f>HYPERLINK("https://sao.dolgi.msk.ru/account/1404178977/", 1404178977)</f>
        <v>1404178977</v>
      </c>
      <c r="D816">
        <v>-6695.6</v>
      </c>
    </row>
    <row r="817" spans="1:4" hidden="1" x14ac:dyDescent="0.25">
      <c r="A817" t="s">
        <v>412</v>
      </c>
      <c r="B817" t="s">
        <v>66</v>
      </c>
      <c r="C817" s="2">
        <f>HYPERLINK("https://sao.dolgi.msk.ru/account/1404178854/", 1404178854)</f>
        <v>1404178854</v>
      </c>
      <c r="D817">
        <v>-5565.6</v>
      </c>
    </row>
    <row r="818" spans="1:4" x14ac:dyDescent="0.25">
      <c r="A818" t="s">
        <v>412</v>
      </c>
      <c r="B818" t="s">
        <v>67</v>
      </c>
      <c r="C818" s="2">
        <f>HYPERLINK("https://sao.dolgi.msk.ru/account/1404179187/", 1404179187)</f>
        <v>1404179187</v>
      </c>
      <c r="D818">
        <v>12732.48</v>
      </c>
    </row>
    <row r="819" spans="1:4" x14ac:dyDescent="0.25">
      <c r="A819" t="s">
        <v>412</v>
      </c>
      <c r="B819" t="s">
        <v>68</v>
      </c>
      <c r="C819" s="2">
        <f>HYPERLINK("https://sao.dolgi.msk.ru/account/1404179363/", 1404179363)</f>
        <v>1404179363</v>
      </c>
      <c r="D819">
        <v>21278.81</v>
      </c>
    </row>
    <row r="820" spans="1:4" hidden="1" x14ac:dyDescent="0.25">
      <c r="A820" t="s">
        <v>412</v>
      </c>
      <c r="B820" t="s">
        <v>69</v>
      </c>
      <c r="C820" s="2">
        <f>HYPERLINK("https://sao.dolgi.msk.ru/account/1404179101/", 1404179101)</f>
        <v>1404179101</v>
      </c>
      <c r="D820">
        <v>0</v>
      </c>
    </row>
    <row r="821" spans="1:4" hidden="1" x14ac:dyDescent="0.25">
      <c r="A821" t="s">
        <v>412</v>
      </c>
      <c r="B821" t="s">
        <v>70</v>
      </c>
      <c r="C821" s="2">
        <f>HYPERLINK("https://sao.dolgi.msk.ru/account/1404179259/", 1404179259)</f>
        <v>1404179259</v>
      </c>
      <c r="D821">
        <v>-5264.41</v>
      </c>
    </row>
    <row r="822" spans="1:4" x14ac:dyDescent="0.25">
      <c r="A822" t="s">
        <v>412</v>
      </c>
      <c r="B822" t="s">
        <v>71</v>
      </c>
      <c r="C822" s="2">
        <f>HYPERLINK("https://sao.dolgi.msk.ru/account/1404178985/", 1404178985)</f>
        <v>1404178985</v>
      </c>
      <c r="D822">
        <v>4166.76</v>
      </c>
    </row>
    <row r="823" spans="1:4" hidden="1" x14ac:dyDescent="0.25">
      <c r="A823" t="s">
        <v>412</v>
      </c>
      <c r="B823" t="s">
        <v>72</v>
      </c>
      <c r="C823" s="2">
        <f>HYPERLINK("https://sao.dolgi.msk.ru/account/1404178993/", 1404178993)</f>
        <v>1404178993</v>
      </c>
      <c r="D823">
        <v>-5205.45</v>
      </c>
    </row>
    <row r="824" spans="1:4" x14ac:dyDescent="0.25">
      <c r="A824" t="s">
        <v>412</v>
      </c>
      <c r="B824" t="s">
        <v>73</v>
      </c>
      <c r="C824" s="2">
        <f>HYPERLINK("https://sao.dolgi.msk.ru/account/1404178766/", 1404178766)</f>
        <v>1404178766</v>
      </c>
      <c r="D824">
        <v>4694.0600000000004</v>
      </c>
    </row>
    <row r="825" spans="1:4" x14ac:dyDescent="0.25">
      <c r="A825" t="s">
        <v>412</v>
      </c>
      <c r="B825" t="s">
        <v>74</v>
      </c>
      <c r="C825" s="2">
        <f>HYPERLINK("https://sao.dolgi.msk.ru/account/1404179398/", 1404179398)</f>
        <v>1404179398</v>
      </c>
      <c r="D825">
        <v>19539.46</v>
      </c>
    </row>
    <row r="826" spans="1:4" hidden="1" x14ac:dyDescent="0.25">
      <c r="A826" t="s">
        <v>412</v>
      </c>
      <c r="B826" t="s">
        <v>75</v>
      </c>
      <c r="C826" s="2">
        <f>HYPERLINK("https://sao.dolgi.msk.ru/account/1404178862/", 1404178862)</f>
        <v>1404178862</v>
      </c>
      <c r="D826">
        <v>-5074.8500000000004</v>
      </c>
    </row>
    <row r="827" spans="1:4" x14ac:dyDescent="0.25">
      <c r="A827" t="s">
        <v>412</v>
      </c>
      <c r="B827" t="s">
        <v>76</v>
      </c>
      <c r="C827" s="2">
        <f>HYPERLINK("https://sao.dolgi.msk.ru/account/1404179419/", 1404179419)</f>
        <v>1404179419</v>
      </c>
      <c r="D827">
        <v>16443.12</v>
      </c>
    </row>
    <row r="828" spans="1:4" hidden="1" x14ac:dyDescent="0.25">
      <c r="A828" t="s">
        <v>413</v>
      </c>
      <c r="B828" t="s">
        <v>77</v>
      </c>
      <c r="C828" s="2">
        <f>HYPERLINK("https://sao.dolgi.msk.ru/account/1404180233/", 1404180233)</f>
        <v>1404180233</v>
      </c>
      <c r="D828">
        <v>0</v>
      </c>
    </row>
    <row r="829" spans="1:4" x14ac:dyDescent="0.25">
      <c r="A829" t="s">
        <v>413</v>
      </c>
      <c r="B829" t="s">
        <v>78</v>
      </c>
      <c r="C829" s="2">
        <f>HYPERLINK("https://sao.dolgi.msk.ru/account/1404179662/", 1404179662)</f>
        <v>1404179662</v>
      </c>
      <c r="D829">
        <v>137.86000000000001</v>
      </c>
    </row>
    <row r="830" spans="1:4" x14ac:dyDescent="0.25">
      <c r="A830" t="s">
        <v>413</v>
      </c>
      <c r="B830" t="s">
        <v>80</v>
      </c>
      <c r="C830" s="2">
        <f>HYPERLINK("https://sao.dolgi.msk.ru/account/1404180436/", 1404180436)</f>
        <v>1404180436</v>
      </c>
      <c r="D830">
        <v>3372.84</v>
      </c>
    </row>
    <row r="831" spans="1:4" x14ac:dyDescent="0.25">
      <c r="A831" t="s">
        <v>413</v>
      </c>
      <c r="B831" t="s">
        <v>81</v>
      </c>
      <c r="C831" s="2">
        <f>HYPERLINK("https://sao.dolgi.msk.ru/account/1404180081/", 1404180081)</f>
        <v>1404180081</v>
      </c>
      <c r="D831">
        <v>1493.84</v>
      </c>
    </row>
    <row r="832" spans="1:4" x14ac:dyDescent="0.25">
      <c r="A832" t="s">
        <v>413</v>
      </c>
      <c r="B832" t="s">
        <v>82</v>
      </c>
      <c r="C832" s="2">
        <f>HYPERLINK("https://sao.dolgi.msk.ru/account/1404180508/", 1404180508)</f>
        <v>1404180508</v>
      </c>
      <c r="D832">
        <v>11987.49</v>
      </c>
    </row>
    <row r="833" spans="1:4" hidden="1" x14ac:dyDescent="0.25">
      <c r="A833" t="s">
        <v>413</v>
      </c>
      <c r="B833" t="s">
        <v>83</v>
      </c>
      <c r="C833" s="2">
        <f>HYPERLINK("https://sao.dolgi.msk.ru/account/1404179902/", 1404179902)</f>
        <v>1404179902</v>
      </c>
      <c r="D833">
        <v>0</v>
      </c>
    </row>
    <row r="834" spans="1:4" hidden="1" x14ac:dyDescent="0.25">
      <c r="A834" t="s">
        <v>413</v>
      </c>
      <c r="B834" t="s">
        <v>84</v>
      </c>
      <c r="C834" s="2">
        <f>HYPERLINK("https://sao.dolgi.msk.ru/account/1404180399/", 1404180399)</f>
        <v>1404180399</v>
      </c>
      <c r="D834">
        <v>0</v>
      </c>
    </row>
    <row r="835" spans="1:4" hidden="1" x14ac:dyDescent="0.25">
      <c r="A835" t="s">
        <v>413</v>
      </c>
      <c r="B835" t="s">
        <v>85</v>
      </c>
      <c r="C835" s="2">
        <f>HYPERLINK("https://sao.dolgi.msk.ru/account/1404179734/", 1404179734)</f>
        <v>1404179734</v>
      </c>
      <c r="D835">
        <v>0</v>
      </c>
    </row>
    <row r="836" spans="1:4" hidden="1" x14ac:dyDescent="0.25">
      <c r="A836" t="s">
        <v>413</v>
      </c>
      <c r="B836" t="s">
        <v>86</v>
      </c>
      <c r="C836" s="2">
        <f>HYPERLINK("https://sao.dolgi.msk.ru/account/1404180153/", 1404180153)</f>
        <v>1404180153</v>
      </c>
      <c r="D836">
        <v>-7411.39</v>
      </c>
    </row>
    <row r="837" spans="1:4" x14ac:dyDescent="0.25">
      <c r="A837" t="s">
        <v>413</v>
      </c>
      <c r="B837" t="s">
        <v>87</v>
      </c>
      <c r="C837" s="2">
        <f>HYPERLINK("https://sao.dolgi.msk.ru/account/1404180057/", 1404180057)</f>
        <v>1404180057</v>
      </c>
      <c r="D837">
        <v>999.37</v>
      </c>
    </row>
    <row r="838" spans="1:4" hidden="1" x14ac:dyDescent="0.25">
      <c r="A838" t="s">
        <v>413</v>
      </c>
      <c r="B838" t="s">
        <v>88</v>
      </c>
      <c r="C838" s="2">
        <f>HYPERLINK("https://sao.dolgi.msk.ru/account/1404180292/", 1404180292)</f>
        <v>1404180292</v>
      </c>
      <c r="D838">
        <v>-2377.2600000000002</v>
      </c>
    </row>
    <row r="839" spans="1:4" hidden="1" x14ac:dyDescent="0.25">
      <c r="A839" t="s">
        <v>413</v>
      </c>
      <c r="B839" t="s">
        <v>89</v>
      </c>
      <c r="C839" s="2">
        <f>HYPERLINK("https://sao.dolgi.msk.ru/account/1404180161/", 1404180161)</f>
        <v>1404180161</v>
      </c>
      <c r="D839">
        <v>-6337.65</v>
      </c>
    </row>
    <row r="840" spans="1:4" x14ac:dyDescent="0.25">
      <c r="A840" t="s">
        <v>413</v>
      </c>
      <c r="B840" t="s">
        <v>90</v>
      </c>
      <c r="C840" s="2">
        <f>HYPERLINK("https://sao.dolgi.msk.ru/account/1404179929/", 1404179929)</f>
        <v>1404179929</v>
      </c>
      <c r="D840">
        <v>28729.41</v>
      </c>
    </row>
    <row r="841" spans="1:4" hidden="1" x14ac:dyDescent="0.25">
      <c r="A841" t="s">
        <v>413</v>
      </c>
      <c r="B841" t="s">
        <v>91</v>
      </c>
      <c r="C841" s="2">
        <f>HYPERLINK("https://sao.dolgi.msk.ru/account/1404180188/", 1404180188)</f>
        <v>1404180188</v>
      </c>
      <c r="D841">
        <v>-6090.46</v>
      </c>
    </row>
    <row r="842" spans="1:4" x14ac:dyDescent="0.25">
      <c r="A842" t="s">
        <v>413</v>
      </c>
      <c r="B842" t="s">
        <v>92</v>
      </c>
      <c r="C842" s="2">
        <f>HYPERLINK("https://sao.dolgi.msk.ru/account/1404180516/", 1404180516)</f>
        <v>1404180516</v>
      </c>
      <c r="D842">
        <v>962.96</v>
      </c>
    </row>
    <row r="843" spans="1:4" hidden="1" x14ac:dyDescent="0.25">
      <c r="A843" t="s">
        <v>413</v>
      </c>
      <c r="B843" t="s">
        <v>93</v>
      </c>
      <c r="C843" s="2">
        <f>HYPERLINK("https://sao.dolgi.msk.ru/account/1404179742/", 1404179742)</f>
        <v>1404179742</v>
      </c>
      <c r="D843">
        <v>-3356.15</v>
      </c>
    </row>
    <row r="844" spans="1:4" hidden="1" x14ac:dyDescent="0.25">
      <c r="A844" t="s">
        <v>413</v>
      </c>
      <c r="B844" t="s">
        <v>94</v>
      </c>
      <c r="C844" s="2">
        <f>HYPERLINK("https://sao.dolgi.msk.ru/account/1404180196/", 1404180196)</f>
        <v>1404180196</v>
      </c>
      <c r="D844">
        <v>-5965.33</v>
      </c>
    </row>
    <row r="845" spans="1:4" hidden="1" x14ac:dyDescent="0.25">
      <c r="A845" t="s">
        <v>413</v>
      </c>
      <c r="B845" t="s">
        <v>95</v>
      </c>
      <c r="C845" s="2">
        <f>HYPERLINK("https://sao.dolgi.msk.ru/account/1404180401/", 1404180401)</f>
        <v>1404180401</v>
      </c>
      <c r="D845">
        <v>0</v>
      </c>
    </row>
    <row r="846" spans="1:4" hidden="1" x14ac:dyDescent="0.25">
      <c r="A846" t="s">
        <v>413</v>
      </c>
      <c r="B846" t="s">
        <v>96</v>
      </c>
      <c r="C846" s="2">
        <f>HYPERLINK("https://sao.dolgi.msk.ru/account/1404180524/", 1404180524)</f>
        <v>1404180524</v>
      </c>
      <c r="D846">
        <v>-4170.1099999999997</v>
      </c>
    </row>
    <row r="847" spans="1:4" hidden="1" x14ac:dyDescent="0.25">
      <c r="A847" t="s">
        <v>413</v>
      </c>
      <c r="B847" t="s">
        <v>97</v>
      </c>
      <c r="C847" s="2">
        <f>HYPERLINK("https://sao.dolgi.msk.ru/account/1404180065/", 1404180065)</f>
        <v>1404180065</v>
      </c>
      <c r="D847">
        <v>-7149.13</v>
      </c>
    </row>
    <row r="848" spans="1:4" hidden="1" x14ac:dyDescent="0.25">
      <c r="A848" t="s">
        <v>413</v>
      </c>
      <c r="B848" t="s">
        <v>98</v>
      </c>
      <c r="C848" s="2">
        <f>HYPERLINK("https://sao.dolgi.msk.ru/account/1404179849/", 1404179849)</f>
        <v>1404179849</v>
      </c>
      <c r="D848">
        <v>-6457.56</v>
      </c>
    </row>
    <row r="849" spans="1:4" hidden="1" x14ac:dyDescent="0.25">
      <c r="A849" t="s">
        <v>413</v>
      </c>
      <c r="B849" t="s">
        <v>99</v>
      </c>
      <c r="C849" s="2">
        <f>HYPERLINK("https://sao.dolgi.msk.ru/account/1404180209/", 1404180209)</f>
        <v>1404180209</v>
      </c>
      <c r="D849">
        <v>0</v>
      </c>
    </row>
    <row r="850" spans="1:4" x14ac:dyDescent="0.25">
      <c r="A850" t="s">
        <v>413</v>
      </c>
      <c r="B850" t="s">
        <v>100</v>
      </c>
      <c r="C850" s="2">
        <f>HYPERLINK("https://sao.dolgi.msk.ru/account/1404180428/", 1404180428)</f>
        <v>1404180428</v>
      </c>
      <c r="D850">
        <v>9102.9</v>
      </c>
    </row>
    <row r="851" spans="1:4" hidden="1" x14ac:dyDescent="0.25">
      <c r="A851" t="s">
        <v>413</v>
      </c>
      <c r="B851" t="s">
        <v>101</v>
      </c>
      <c r="C851" s="2">
        <f>HYPERLINK("https://sao.dolgi.msk.ru/account/1404179937/", 1404179937)</f>
        <v>1404179937</v>
      </c>
      <c r="D851">
        <v>-5887.2</v>
      </c>
    </row>
    <row r="852" spans="1:4" hidden="1" x14ac:dyDescent="0.25">
      <c r="A852" t="s">
        <v>413</v>
      </c>
      <c r="B852" t="s">
        <v>102</v>
      </c>
      <c r="C852" s="2">
        <f>HYPERLINK("https://sao.dolgi.msk.ru/account/1404179857/", 1404179857)</f>
        <v>1404179857</v>
      </c>
      <c r="D852">
        <v>-4668.91</v>
      </c>
    </row>
    <row r="853" spans="1:4" hidden="1" x14ac:dyDescent="0.25">
      <c r="A853" t="s">
        <v>413</v>
      </c>
      <c r="B853" t="s">
        <v>103</v>
      </c>
      <c r="C853" s="2">
        <f>HYPERLINK("https://sao.dolgi.msk.ru/account/1404180305/", 1404180305)</f>
        <v>1404180305</v>
      </c>
      <c r="D853">
        <v>-5234.9399999999996</v>
      </c>
    </row>
    <row r="854" spans="1:4" hidden="1" x14ac:dyDescent="0.25">
      <c r="A854" t="s">
        <v>413</v>
      </c>
      <c r="B854" t="s">
        <v>104</v>
      </c>
      <c r="C854" s="2">
        <f>HYPERLINK("https://sao.dolgi.msk.ru/account/1404180364/", 1404180364)</f>
        <v>1404180364</v>
      </c>
      <c r="D854">
        <v>0</v>
      </c>
    </row>
    <row r="855" spans="1:4" hidden="1" x14ac:dyDescent="0.25">
      <c r="A855" t="s">
        <v>413</v>
      </c>
      <c r="B855" t="s">
        <v>105</v>
      </c>
      <c r="C855" s="2">
        <f>HYPERLINK("https://sao.dolgi.msk.ru/account/1404179697/", 1404179697)</f>
        <v>1404179697</v>
      </c>
      <c r="D855">
        <v>-5881.48</v>
      </c>
    </row>
    <row r="856" spans="1:4" hidden="1" x14ac:dyDescent="0.25">
      <c r="A856" t="s">
        <v>413</v>
      </c>
      <c r="B856" t="s">
        <v>106</v>
      </c>
      <c r="C856" s="2">
        <f>HYPERLINK("https://sao.dolgi.msk.ru/account/1404179814/", 1404179814)</f>
        <v>1404179814</v>
      </c>
      <c r="D856">
        <v>-6886.91</v>
      </c>
    </row>
    <row r="857" spans="1:4" hidden="1" x14ac:dyDescent="0.25">
      <c r="A857" t="s">
        <v>413</v>
      </c>
      <c r="B857" t="s">
        <v>107</v>
      </c>
      <c r="C857" s="2">
        <f>HYPERLINK("https://sao.dolgi.msk.ru/account/1404179718/", 1404179718)</f>
        <v>1404179718</v>
      </c>
      <c r="D857">
        <v>-4248.38</v>
      </c>
    </row>
    <row r="858" spans="1:4" x14ac:dyDescent="0.25">
      <c r="A858" t="s">
        <v>413</v>
      </c>
      <c r="B858" t="s">
        <v>108</v>
      </c>
      <c r="C858" s="2">
        <f>HYPERLINK("https://sao.dolgi.msk.ru/account/1404180049/", 1404180049)</f>
        <v>1404180049</v>
      </c>
      <c r="D858">
        <v>30202.48</v>
      </c>
    </row>
    <row r="859" spans="1:4" hidden="1" x14ac:dyDescent="0.25">
      <c r="A859" t="s">
        <v>413</v>
      </c>
      <c r="B859" t="s">
        <v>109</v>
      </c>
      <c r="C859" s="2">
        <f>HYPERLINK("https://sao.dolgi.msk.ru/account/1404179726/", 1404179726)</f>
        <v>1404179726</v>
      </c>
      <c r="D859">
        <v>-4143.9799999999996</v>
      </c>
    </row>
    <row r="860" spans="1:4" hidden="1" x14ac:dyDescent="0.25">
      <c r="A860" t="s">
        <v>413</v>
      </c>
      <c r="B860" t="s">
        <v>110</v>
      </c>
      <c r="C860" s="2">
        <f>HYPERLINK("https://sao.dolgi.msk.ru/account/1404179822/", 1404179822)</f>
        <v>1404179822</v>
      </c>
      <c r="D860">
        <v>0</v>
      </c>
    </row>
    <row r="861" spans="1:4" hidden="1" x14ac:dyDescent="0.25">
      <c r="A861" t="s">
        <v>413</v>
      </c>
      <c r="B861" t="s">
        <v>111</v>
      </c>
      <c r="C861" s="2">
        <f>HYPERLINK("https://sao.dolgi.msk.ru/account/1404180372/", 1404180372)</f>
        <v>1404180372</v>
      </c>
      <c r="D861">
        <v>-5299.53</v>
      </c>
    </row>
    <row r="862" spans="1:4" x14ac:dyDescent="0.25">
      <c r="A862" t="s">
        <v>413</v>
      </c>
      <c r="B862" t="s">
        <v>112</v>
      </c>
      <c r="C862" s="2">
        <f>HYPERLINK("https://sao.dolgi.msk.ru/account/1404179793/", 1404179793)</f>
        <v>1404179793</v>
      </c>
      <c r="D862">
        <v>31256.25</v>
      </c>
    </row>
    <row r="863" spans="1:4" hidden="1" x14ac:dyDescent="0.25">
      <c r="A863" t="s">
        <v>413</v>
      </c>
      <c r="B863" t="s">
        <v>113</v>
      </c>
      <c r="C863" s="2">
        <f>HYPERLINK("https://sao.dolgi.msk.ru/account/1404179806/", 1404179806)</f>
        <v>1404179806</v>
      </c>
      <c r="D863">
        <v>-1229.56</v>
      </c>
    </row>
    <row r="864" spans="1:4" hidden="1" x14ac:dyDescent="0.25">
      <c r="A864" t="s">
        <v>413</v>
      </c>
      <c r="B864" t="s">
        <v>114</v>
      </c>
      <c r="C864" s="2">
        <f>HYPERLINK("https://sao.dolgi.msk.ru/account/1404180495/", 1404180495)</f>
        <v>1404180495</v>
      </c>
      <c r="D864">
        <v>0</v>
      </c>
    </row>
    <row r="865" spans="1:4" hidden="1" x14ac:dyDescent="0.25">
      <c r="A865" t="s">
        <v>413</v>
      </c>
      <c r="B865" t="s">
        <v>115</v>
      </c>
      <c r="C865" s="2">
        <f>HYPERLINK("https://sao.dolgi.msk.ru/account/1404180014/", 1404180014)</f>
        <v>1404180014</v>
      </c>
      <c r="D865">
        <v>0</v>
      </c>
    </row>
    <row r="866" spans="1:4" x14ac:dyDescent="0.25">
      <c r="A866" t="s">
        <v>413</v>
      </c>
      <c r="B866" t="s">
        <v>116</v>
      </c>
      <c r="C866" s="2">
        <f>HYPERLINK("https://sao.dolgi.msk.ru/account/1404180022/", 1404180022)</f>
        <v>1404180022</v>
      </c>
      <c r="D866">
        <v>17604.150000000001</v>
      </c>
    </row>
    <row r="867" spans="1:4" hidden="1" x14ac:dyDescent="0.25">
      <c r="A867" t="s">
        <v>413</v>
      </c>
      <c r="B867" t="s">
        <v>117</v>
      </c>
      <c r="C867" s="2">
        <f>HYPERLINK("https://sao.dolgi.msk.ru/account/1404180356/", 1404180356)</f>
        <v>1404180356</v>
      </c>
      <c r="D867">
        <v>0</v>
      </c>
    </row>
    <row r="868" spans="1:4" hidden="1" x14ac:dyDescent="0.25">
      <c r="A868" t="s">
        <v>413</v>
      </c>
      <c r="B868" t="s">
        <v>118</v>
      </c>
      <c r="C868" s="2">
        <f>HYPERLINK("https://sao.dolgi.msk.ru/account/1404180276/", 1404180276)</f>
        <v>1404180276</v>
      </c>
      <c r="D868">
        <v>-2868.17</v>
      </c>
    </row>
    <row r="869" spans="1:4" hidden="1" x14ac:dyDescent="0.25">
      <c r="A869" t="s">
        <v>413</v>
      </c>
      <c r="B869" t="s">
        <v>119</v>
      </c>
      <c r="C869" s="2">
        <f>HYPERLINK("https://sao.dolgi.msk.ru/account/1404180284/", 1404180284)</f>
        <v>1404180284</v>
      </c>
      <c r="D869">
        <v>0</v>
      </c>
    </row>
    <row r="870" spans="1:4" hidden="1" x14ac:dyDescent="0.25">
      <c r="A870" t="s">
        <v>413</v>
      </c>
      <c r="B870" t="s">
        <v>120</v>
      </c>
      <c r="C870" s="2">
        <f>HYPERLINK("https://sao.dolgi.msk.ru/account/1404179865/", 1404179865)</f>
        <v>1404179865</v>
      </c>
      <c r="D870">
        <v>-2787.92</v>
      </c>
    </row>
    <row r="871" spans="1:4" hidden="1" x14ac:dyDescent="0.25">
      <c r="A871" t="s">
        <v>413</v>
      </c>
      <c r="B871" t="s">
        <v>121</v>
      </c>
      <c r="C871" s="2">
        <f>HYPERLINK("https://sao.dolgi.msk.ru/account/1404180452/", 1404180452)</f>
        <v>1404180452</v>
      </c>
      <c r="D871">
        <v>0</v>
      </c>
    </row>
    <row r="872" spans="1:4" hidden="1" x14ac:dyDescent="0.25">
      <c r="A872" t="s">
        <v>413</v>
      </c>
      <c r="B872" t="s">
        <v>122</v>
      </c>
      <c r="C872" s="2">
        <f>HYPERLINK("https://sao.dolgi.msk.ru/account/1404180321/", 1404180321)</f>
        <v>1404180321</v>
      </c>
      <c r="D872">
        <v>-4935.3599999999997</v>
      </c>
    </row>
    <row r="873" spans="1:4" hidden="1" x14ac:dyDescent="0.25">
      <c r="A873" t="s">
        <v>413</v>
      </c>
      <c r="B873" t="s">
        <v>123</v>
      </c>
      <c r="C873" s="2">
        <f>HYPERLINK("https://sao.dolgi.msk.ru/account/1404179873/", 1404179873)</f>
        <v>1404179873</v>
      </c>
      <c r="D873">
        <v>-5058.58</v>
      </c>
    </row>
    <row r="874" spans="1:4" hidden="1" x14ac:dyDescent="0.25">
      <c r="A874" t="s">
        <v>413</v>
      </c>
      <c r="B874" t="s">
        <v>124</v>
      </c>
      <c r="C874" s="2">
        <f>HYPERLINK("https://sao.dolgi.msk.ru/account/1404179953/", 1404179953)</f>
        <v>1404179953</v>
      </c>
      <c r="D874">
        <v>-3949.18</v>
      </c>
    </row>
    <row r="875" spans="1:4" x14ac:dyDescent="0.25">
      <c r="A875" t="s">
        <v>413</v>
      </c>
      <c r="B875" t="s">
        <v>125</v>
      </c>
      <c r="C875" s="2">
        <f>HYPERLINK("https://sao.dolgi.msk.ru/account/1404179777/", 1404179777)</f>
        <v>1404179777</v>
      </c>
      <c r="D875">
        <v>478.5</v>
      </c>
    </row>
    <row r="876" spans="1:4" hidden="1" x14ac:dyDescent="0.25">
      <c r="A876" t="s">
        <v>413</v>
      </c>
      <c r="B876" t="s">
        <v>126</v>
      </c>
      <c r="C876" s="2">
        <f>HYPERLINK("https://sao.dolgi.msk.ru/account/1404180129/", 1404180129)</f>
        <v>1404180129</v>
      </c>
      <c r="D876">
        <v>-4180.28</v>
      </c>
    </row>
    <row r="877" spans="1:4" hidden="1" x14ac:dyDescent="0.25">
      <c r="A877" t="s">
        <v>413</v>
      </c>
      <c r="B877" t="s">
        <v>127</v>
      </c>
      <c r="C877" s="2">
        <f>HYPERLINK("https://sao.dolgi.msk.ru/account/1404179881/", 1404179881)</f>
        <v>1404179881</v>
      </c>
      <c r="D877">
        <v>-3167.84</v>
      </c>
    </row>
    <row r="878" spans="1:4" hidden="1" x14ac:dyDescent="0.25">
      <c r="A878" t="s">
        <v>413</v>
      </c>
      <c r="B878" t="s">
        <v>128</v>
      </c>
      <c r="C878" s="2">
        <f>HYPERLINK("https://sao.dolgi.msk.ru/account/1404180137/", 1404180137)</f>
        <v>1404180137</v>
      </c>
      <c r="D878">
        <v>0</v>
      </c>
    </row>
    <row r="879" spans="1:4" hidden="1" x14ac:dyDescent="0.25">
      <c r="A879" t="s">
        <v>413</v>
      </c>
      <c r="B879" t="s">
        <v>129</v>
      </c>
      <c r="C879" s="2">
        <f>HYPERLINK("https://sao.dolgi.msk.ru/account/1404179689/", 1404179689)</f>
        <v>1404179689</v>
      </c>
      <c r="D879">
        <v>0</v>
      </c>
    </row>
    <row r="880" spans="1:4" hidden="1" x14ac:dyDescent="0.25">
      <c r="A880" t="s">
        <v>413</v>
      </c>
      <c r="B880" t="s">
        <v>130</v>
      </c>
      <c r="C880" s="2">
        <f>HYPERLINK("https://sao.dolgi.msk.ru/account/1404180479/", 1404180479)</f>
        <v>1404180479</v>
      </c>
      <c r="D880">
        <v>-6211.19</v>
      </c>
    </row>
    <row r="881" spans="1:4" x14ac:dyDescent="0.25">
      <c r="A881" t="s">
        <v>413</v>
      </c>
      <c r="B881" t="s">
        <v>131</v>
      </c>
      <c r="C881" s="2">
        <f>HYPERLINK("https://sao.dolgi.msk.ru/account/1404179961/", 1404179961)</f>
        <v>1404179961</v>
      </c>
      <c r="D881">
        <v>24065.38</v>
      </c>
    </row>
    <row r="882" spans="1:4" hidden="1" x14ac:dyDescent="0.25">
      <c r="A882" t="s">
        <v>413</v>
      </c>
      <c r="B882" t="s">
        <v>132</v>
      </c>
      <c r="C882" s="2">
        <f>HYPERLINK("https://sao.dolgi.msk.ru/account/1404180348/", 1404180348)</f>
        <v>1404180348</v>
      </c>
      <c r="D882">
        <v>-2658.79</v>
      </c>
    </row>
    <row r="883" spans="1:4" x14ac:dyDescent="0.25">
      <c r="A883" t="s">
        <v>413</v>
      </c>
      <c r="B883" t="s">
        <v>133</v>
      </c>
      <c r="C883" s="2">
        <f>HYPERLINK("https://sao.dolgi.msk.ru/account/1404179785/", 1404179785)</f>
        <v>1404179785</v>
      </c>
      <c r="D883">
        <v>10284.09</v>
      </c>
    </row>
    <row r="884" spans="1:4" hidden="1" x14ac:dyDescent="0.25">
      <c r="A884" t="s">
        <v>413</v>
      </c>
      <c r="B884" t="s">
        <v>134</v>
      </c>
      <c r="C884" s="2">
        <f>HYPERLINK("https://sao.dolgi.msk.ru/account/1404179988/", 1404179988)</f>
        <v>1404179988</v>
      </c>
      <c r="D884">
        <v>-5401.07</v>
      </c>
    </row>
    <row r="885" spans="1:4" hidden="1" x14ac:dyDescent="0.25">
      <c r="A885" t="s">
        <v>413</v>
      </c>
      <c r="B885" t="s">
        <v>135</v>
      </c>
      <c r="C885" s="2">
        <f>HYPERLINK("https://sao.dolgi.msk.ru/account/1404180145/", 1404180145)</f>
        <v>1404180145</v>
      </c>
      <c r="D885">
        <v>0</v>
      </c>
    </row>
    <row r="886" spans="1:4" hidden="1" x14ac:dyDescent="0.25">
      <c r="A886" t="s">
        <v>413</v>
      </c>
      <c r="B886" t="s">
        <v>136</v>
      </c>
      <c r="C886" s="2">
        <f>HYPERLINK("https://sao.dolgi.msk.ru/account/1404180487/", 1404180487)</f>
        <v>1404180487</v>
      </c>
      <c r="D886">
        <v>-3591.77</v>
      </c>
    </row>
    <row r="887" spans="1:4" x14ac:dyDescent="0.25">
      <c r="A887" t="s">
        <v>413</v>
      </c>
      <c r="B887" t="s">
        <v>137</v>
      </c>
      <c r="C887" s="2">
        <f>HYPERLINK("https://sao.dolgi.msk.ru/account/1404179996/", 1404179996)</f>
        <v>1404179996</v>
      </c>
      <c r="D887">
        <v>80919.360000000001</v>
      </c>
    </row>
    <row r="888" spans="1:4" hidden="1" x14ac:dyDescent="0.25">
      <c r="A888" t="s">
        <v>413</v>
      </c>
      <c r="B888" t="s">
        <v>138</v>
      </c>
      <c r="C888" s="2">
        <f>HYPERLINK("https://sao.dolgi.msk.ru/account/1404180006/", 1404180006)</f>
        <v>1404180006</v>
      </c>
      <c r="D888">
        <v>-5008.3599999999997</v>
      </c>
    </row>
    <row r="889" spans="1:4" hidden="1" x14ac:dyDescent="0.25">
      <c r="A889" t="s">
        <v>413</v>
      </c>
      <c r="B889" t="s">
        <v>139</v>
      </c>
      <c r="C889" s="2">
        <f>HYPERLINK("https://sao.dolgi.msk.ru/account/1404180241/", 1404180241)</f>
        <v>1404180241</v>
      </c>
      <c r="D889">
        <v>0</v>
      </c>
    </row>
    <row r="890" spans="1:4" hidden="1" x14ac:dyDescent="0.25">
      <c r="A890" t="s">
        <v>413</v>
      </c>
      <c r="B890" t="s">
        <v>140</v>
      </c>
      <c r="C890" s="2">
        <f>HYPERLINK("https://sao.dolgi.msk.ru/account/1404179769/", 1404179769)</f>
        <v>1404179769</v>
      </c>
      <c r="D890">
        <v>-4130.9799999999996</v>
      </c>
    </row>
    <row r="891" spans="1:4" hidden="1" x14ac:dyDescent="0.25">
      <c r="A891" t="s">
        <v>413</v>
      </c>
      <c r="B891" t="s">
        <v>141</v>
      </c>
      <c r="C891" s="2">
        <f>HYPERLINK("https://sao.dolgi.msk.ru/account/1404179945/", 1404179945)</f>
        <v>1404179945</v>
      </c>
      <c r="D891">
        <v>-4146.9799999999996</v>
      </c>
    </row>
    <row r="892" spans="1:4" hidden="1" x14ac:dyDescent="0.25">
      <c r="A892" t="s">
        <v>413</v>
      </c>
      <c r="B892" t="s">
        <v>142</v>
      </c>
      <c r="C892" s="2">
        <f>HYPERLINK("https://sao.dolgi.msk.ru/account/1404180444/", 1404180444)</f>
        <v>1404180444</v>
      </c>
      <c r="D892">
        <v>-4187.55</v>
      </c>
    </row>
    <row r="893" spans="1:4" hidden="1" x14ac:dyDescent="0.25">
      <c r="A893" t="s">
        <v>413</v>
      </c>
      <c r="B893" t="s">
        <v>143</v>
      </c>
      <c r="C893" s="2">
        <f>HYPERLINK("https://sao.dolgi.msk.ru/account/1404180268/", 1404180268)</f>
        <v>1404180268</v>
      </c>
      <c r="D893">
        <v>0</v>
      </c>
    </row>
    <row r="894" spans="1:4" hidden="1" x14ac:dyDescent="0.25">
      <c r="A894" t="s">
        <v>413</v>
      </c>
      <c r="B894" t="s">
        <v>144</v>
      </c>
      <c r="C894" s="2">
        <f>HYPERLINK("https://sao.dolgi.msk.ru/account/1404180102/", 1404180102)</f>
        <v>1404180102</v>
      </c>
      <c r="D894">
        <v>-5173.4799999999996</v>
      </c>
    </row>
    <row r="895" spans="1:4" hidden="1" x14ac:dyDescent="0.25">
      <c r="A895" t="s">
        <v>413</v>
      </c>
      <c r="B895" t="s">
        <v>145</v>
      </c>
      <c r="C895" s="2">
        <f>HYPERLINK("https://sao.dolgi.msk.ru/account/1404180313/", 1404180313)</f>
        <v>1404180313</v>
      </c>
      <c r="D895">
        <v>-7848.09</v>
      </c>
    </row>
    <row r="896" spans="1:4" hidden="1" x14ac:dyDescent="0.25">
      <c r="A896" t="s">
        <v>413</v>
      </c>
      <c r="B896" t="s">
        <v>146</v>
      </c>
      <c r="C896" s="2">
        <f>HYPERLINK("https://sao.dolgi.msk.ru/account/1404180217/", 1404180217)</f>
        <v>1404180217</v>
      </c>
      <c r="D896">
        <v>0</v>
      </c>
    </row>
    <row r="897" spans="1:4" hidden="1" x14ac:dyDescent="0.25">
      <c r="A897" t="s">
        <v>413</v>
      </c>
      <c r="B897" t="s">
        <v>147</v>
      </c>
      <c r="C897" s="2">
        <f>HYPERLINK("https://sao.dolgi.msk.ru/account/1404180073/", 1404180073)</f>
        <v>1404180073</v>
      </c>
      <c r="D897">
        <v>0</v>
      </c>
    </row>
    <row r="898" spans="1:4" hidden="1" x14ac:dyDescent="0.25">
      <c r="A898" t="s">
        <v>413</v>
      </c>
      <c r="B898" t="s">
        <v>148</v>
      </c>
      <c r="C898" s="2">
        <f>HYPERLINK("https://sao.dolgi.msk.ru/account/1404180225/", 1404180225)</f>
        <v>1404180225</v>
      </c>
      <c r="D898">
        <v>0</v>
      </c>
    </row>
    <row r="899" spans="1:4" hidden="1" x14ac:dyDescent="0.25">
      <c r="A899" t="s">
        <v>414</v>
      </c>
      <c r="B899" t="s">
        <v>5</v>
      </c>
      <c r="C899" s="2">
        <f>HYPERLINK("https://sao.dolgi.msk.ru/account/1404180903/", 1404180903)</f>
        <v>1404180903</v>
      </c>
      <c r="D899">
        <v>-5397.62</v>
      </c>
    </row>
    <row r="900" spans="1:4" hidden="1" x14ac:dyDescent="0.25">
      <c r="A900" t="s">
        <v>414</v>
      </c>
      <c r="B900" t="s">
        <v>6</v>
      </c>
      <c r="C900" s="2">
        <f>HYPERLINK("https://sao.dolgi.msk.ru/account/1404181009/", 1404181009)</f>
        <v>1404181009</v>
      </c>
      <c r="D900">
        <v>-5828.52</v>
      </c>
    </row>
    <row r="901" spans="1:4" hidden="1" x14ac:dyDescent="0.25">
      <c r="A901" t="s">
        <v>414</v>
      </c>
      <c r="B901" t="s">
        <v>7</v>
      </c>
      <c r="C901" s="2">
        <f>HYPERLINK("https://sao.dolgi.msk.ru/account/1404180778/", 1404180778)</f>
        <v>1404180778</v>
      </c>
      <c r="D901">
        <v>0</v>
      </c>
    </row>
    <row r="902" spans="1:4" hidden="1" x14ac:dyDescent="0.25">
      <c r="A902" t="s">
        <v>414</v>
      </c>
      <c r="B902" t="s">
        <v>8</v>
      </c>
      <c r="C902" s="2">
        <f>HYPERLINK("https://sao.dolgi.msk.ru/account/1404181092/", 1404181092)</f>
        <v>1404181092</v>
      </c>
      <c r="D902">
        <v>-4224.97</v>
      </c>
    </row>
    <row r="903" spans="1:4" x14ac:dyDescent="0.25">
      <c r="A903" t="s">
        <v>414</v>
      </c>
      <c r="B903" t="s">
        <v>9</v>
      </c>
      <c r="C903" s="2">
        <f>HYPERLINK("https://sao.dolgi.msk.ru/account/1404181199/", 1404181199)</f>
        <v>1404181199</v>
      </c>
      <c r="D903">
        <v>85938.73</v>
      </c>
    </row>
    <row r="904" spans="1:4" x14ac:dyDescent="0.25">
      <c r="A904" t="s">
        <v>414</v>
      </c>
      <c r="B904" t="s">
        <v>10</v>
      </c>
      <c r="C904" s="2">
        <f>HYPERLINK("https://sao.dolgi.msk.ru/account/1404181359/", 1404181359)</f>
        <v>1404181359</v>
      </c>
      <c r="D904">
        <v>10258.27</v>
      </c>
    </row>
    <row r="905" spans="1:4" x14ac:dyDescent="0.25">
      <c r="A905" t="s">
        <v>414</v>
      </c>
      <c r="B905" t="s">
        <v>11</v>
      </c>
      <c r="C905" s="2">
        <f>HYPERLINK("https://sao.dolgi.msk.ru/account/1404181228/", 1404181228)</f>
        <v>1404181228</v>
      </c>
      <c r="D905">
        <v>4022.02</v>
      </c>
    </row>
    <row r="906" spans="1:4" hidden="1" x14ac:dyDescent="0.25">
      <c r="A906" t="s">
        <v>414</v>
      </c>
      <c r="B906" t="s">
        <v>11</v>
      </c>
      <c r="C906" s="2">
        <f>HYPERLINK("https://sao.dolgi.msk.ru/account/1404181244/", 1404181244)</f>
        <v>1404181244</v>
      </c>
      <c r="D906">
        <v>-1624.62</v>
      </c>
    </row>
    <row r="907" spans="1:4" x14ac:dyDescent="0.25">
      <c r="A907" t="s">
        <v>414</v>
      </c>
      <c r="B907" t="s">
        <v>12</v>
      </c>
      <c r="C907" s="2">
        <f>HYPERLINK("https://sao.dolgi.msk.ru/account/1404180962/", 1404180962)</f>
        <v>1404180962</v>
      </c>
      <c r="D907">
        <v>6699.09</v>
      </c>
    </row>
    <row r="908" spans="1:4" x14ac:dyDescent="0.25">
      <c r="A908" t="s">
        <v>414</v>
      </c>
      <c r="B908" t="s">
        <v>13</v>
      </c>
      <c r="C908" s="2">
        <f>HYPERLINK("https://sao.dolgi.msk.ru/account/1404180612/", 1404180612)</f>
        <v>1404180612</v>
      </c>
      <c r="D908">
        <v>11398.09</v>
      </c>
    </row>
    <row r="909" spans="1:4" hidden="1" x14ac:dyDescent="0.25">
      <c r="A909" t="s">
        <v>414</v>
      </c>
      <c r="B909" t="s">
        <v>14</v>
      </c>
      <c r="C909" s="2">
        <f>HYPERLINK("https://sao.dolgi.msk.ru/account/1404181287/", 1404181287)</f>
        <v>1404181287</v>
      </c>
      <c r="D909">
        <v>0</v>
      </c>
    </row>
    <row r="910" spans="1:4" hidden="1" x14ac:dyDescent="0.25">
      <c r="A910" t="s">
        <v>414</v>
      </c>
      <c r="B910" t="s">
        <v>15</v>
      </c>
      <c r="C910" s="2">
        <f>HYPERLINK("https://sao.dolgi.msk.ru/account/1404180663/", 1404180663)</f>
        <v>1404180663</v>
      </c>
      <c r="D910">
        <v>-6324.89</v>
      </c>
    </row>
    <row r="911" spans="1:4" hidden="1" x14ac:dyDescent="0.25">
      <c r="A911" t="s">
        <v>414</v>
      </c>
      <c r="B911" t="s">
        <v>16</v>
      </c>
      <c r="C911" s="2">
        <f>HYPERLINK("https://sao.dolgi.msk.ru/account/1404180532/", 1404180532)</f>
        <v>1404180532</v>
      </c>
      <c r="D911">
        <v>-4253.8599999999997</v>
      </c>
    </row>
    <row r="912" spans="1:4" hidden="1" x14ac:dyDescent="0.25">
      <c r="A912" t="s">
        <v>414</v>
      </c>
      <c r="B912" t="s">
        <v>17</v>
      </c>
      <c r="C912" s="2">
        <f>HYPERLINK("https://sao.dolgi.msk.ru/account/1404180671/", 1404180671)</f>
        <v>1404180671</v>
      </c>
      <c r="D912">
        <v>0</v>
      </c>
    </row>
    <row r="913" spans="1:4" hidden="1" x14ac:dyDescent="0.25">
      <c r="A913" t="s">
        <v>414</v>
      </c>
      <c r="B913" t="s">
        <v>18</v>
      </c>
      <c r="C913" s="2">
        <f>HYPERLINK("https://sao.dolgi.msk.ru/account/1404180911/", 1404180911)</f>
        <v>1404180911</v>
      </c>
      <c r="D913">
        <v>-4861.3900000000003</v>
      </c>
    </row>
    <row r="914" spans="1:4" hidden="1" x14ac:dyDescent="0.25">
      <c r="A914" t="s">
        <v>414</v>
      </c>
      <c r="B914" t="s">
        <v>19</v>
      </c>
      <c r="C914" s="2">
        <f>HYPERLINK("https://sao.dolgi.msk.ru/account/1404181295/", 1404181295)</f>
        <v>1404181295</v>
      </c>
      <c r="D914">
        <v>0</v>
      </c>
    </row>
    <row r="915" spans="1:4" hidden="1" x14ac:dyDescent="0.25">
      <c r="A915" t="s">
        <v>414</v>
      </c>
      <c r="B915" t="s">
        <v>20</v>
      </c>
      <c r="C915" s="2">
        <f>HYPERLINK("https://sao.dolgi.msk.ru/account/1404180786/", 1404180786)</f>
        <v>1404180786</v>
      </c>
      <c r="D915">
        <v>0</v>
      </c>
    </row>
    <row r="916" spans="1:4" hidden="1" x14ac:dyDescent="0.25">
      <c r="A916" t="s">
        <v>414</v>
      </c>
      <c r="B916" t="s">
        <v>21</v>
      </c>
      <c r="C916" s="2">
        <f>HYPERLINK("https://sao.dolgi.msk.ru/account/1404181076/", 1404181076)</f>
        <v>1404181076</v>
      </c>
      <c r="D916">
        <v>-4191.66</v>
      </c>
    </row>
    <row r="917" spans="1:4" hidden="1" x14ac:dyDescent="0.25">
      <c r="A917" t="s">
        <v>414</v>
      </c>
      <c r="B917" t="s">
        <v>22</v>
      </c>
      <c r="C917" s="2">
        <f>HYPERLINK("https://sao.dolgi.msk.ru/account/1404181121/", 1404181121)</f>
        <v>1404181121</v>
      </c>
      <c r="D917">
        <v>0</v>
      </c>
    </row>
    <row r="918" spans="1:4" hidden="1" x14ac:dyDescent="0.25">
      <c r="A918" t="s">
        <v>414</v>
      </c>
      <c r="B918" t="s">
        <v>23</v>
      </c>
      <c r="C918" s="2">
        <f>HYPERLINK("https://sao.dolgi.msk.ru/account/1404180575/", 1404180575)</f>
        <v>1404180575</v>
      </c>
      <c r="D918">
        <v>-2896.16</v>
      </c>
    </row>
    <row r="919" spans="1:4" hidden="1" x14ac:dyDescent="0.25">
      <c r="A919" t="s">
        <v>414</v>
      </c>
      <c r="B919" t="s">
        <v>24</v>
      </c>
      <c r="C919" s="2">
        <f>HYPERLINK("https://sao.dolgi.msk.ru/account/1404181148/", 1404181148)</f>
        <v>1404181148</v>
      </c>
      <c r="D919">
        <v>-4023.71</v>
      </c>
    </row>
    <row r="920" spans="1:4" hidden="1" x14ac:dyDescent="0.25">
      <c r="A920" t="s">
        <v>414</v>
      </c>
      <c r="B920" t="s">
        <v>25</v>
      </c>
      <c r="C920" s="2">
        <f>HYPERLINK("https://sao.dolgi.msk.ru/account/1404180751/", 1404180751)</f>
        <v>1404180751</v>
      </c>
      <c r="D920">
        <v>0</v>
      </c>
    </row>
    <row r="921" spans="1:4" x14ac:dyDescent="0.25">
      <c r="A921" t="s">
        <v>414</v>
      </c>
      <c r="B921" t="s">
        <v>26</v>
      </c>
      <c r="C921" s="2">
        <f>HYPERLINK("https://sao.dolgi.msk.ru/account/1404180866/", 1404180866)</f>
        <v>1404180866</v>
      </c>
      <c r="D921">
        <v>6494.39</v>
      </c>
    </row>
    <row r="922" spans="1:4" hidden="1" x14ac:dyDescent="0.25">
      <c r="A922" t="s">
        <v>414</v>
      </c>
      <c r="B922" t="s">
        <v>27</v>
      </c>
      <c r="C922" s="2">
        <f>HYPERLINK("https://sao.dolgi.msk.ru/account/1404181156/", 1404181156)</f>
        <v>1404181156</v>
      </c>
      <c r="D922">
        <v>-4666.3900000000003</v>
      </c>
    </row>
    <row r="923" spans="1:4" hidden="1" x14ac:dyDescent="0.25">
      <c r="A923" t="s">
        <v>414</v>
      </c>
      <c r="B923" t="s">
        <v>28</v>
      </c>
      <c r="C923" s="2">
        <f>HYPERLINK("https://sao.dolgi.msk.ru/account/1404180874/", 1404180874)</f>
        <v>1404180874</v>
      </c>
      <c r="D923">
        <v>-4020.01</v>
      </c>
    </row>
    <row r="924" spans="1:4" hidden="1" x14ac:dyDescent="0.25">
      <c r="A924" t="s">
        <v>414</v>
      </c>
      <c r="B924" t="s">
        <v>29</v>
      </c>
      <c r="C924" s="2">
        <f>HYPERLINK("https://sao.dolgi.msk.ru/account/1404180583/", 1404180583)</f>
        <v>1404180583</v>
      </c>
      <c r="D924">
        <v>-6962.97</v>
      </c>
    </row>
    <row r="925" spans="1:4" hidden="1" x14ac:dyDescent="0.25">
      <c r="A925" t="s">
        <v>414</v>
      </c>
      <c r="B925" t="s">
        <v>30</v>
      </c>
      <c r="C925" s="2">
        <f>HYPERLINK("https://sao.dolgi.msk.ru/account/1404181404/", 1404181404)</f>
        <v>1404181404</v>
      </c>
      <c r="D925">
        <v>-4191.6899999999996</v>
      </c>
    </row>
    <row r="926" spans="1:4" hidden="1" x14ac:dyDescent="0.25">
      <c r="A926" t="s">
        <v>414</v>
      </c>
      <c r="B926" t="s">
        <v>31</v>
      </c>
      <c r="C926" s="2">
        <f>HYPERLINK("https://sao.dolgi.msk.ru/account/1404180655/", 1404180655)</f>
        <v>1404180655</v>
      </c>
      <c r="D926">
        <v>-5476.65</v>
      </c>
    </row>
    <row r="927" spans="1:4" x14ac:dyDescent="0.25">
      <c r="A927" t="s">
        <v>414</v>
      </c>
      <c r="B927" t="s">
        <v>32</v>
      </c>
      <c r="C927" s="2">
        <f>HYPERLINK("https://sao.dolgi.msk.ru/account/1404180823/", 1404180823)</f>
        <v>1404180823</v>
      </c>
      <c r="D927">
        <v>5233.12</v>
      </c>
    </row>
    <row r="928" spans="1:4" hidden="1" x14ac:dyDescent="0.25">
      <c r="A928" t="s">
        <v>414</v>
      </c>
      <c r="B928" t="s">
        <v>33</v>
      </c>
      <c r="C928" s="2">
        <f>HYPERLINK("https://sao.dolgi.msk.ru/account/1404180882/", 1404180882)</f>
        <v>1404180882</v>
      </c>
      <c r="D928">
        <v>-3729.49</v>
      </c>
    </row>
    <row r="929" spans="1:4" hidden="1" x14ac:dyDescent="0.25">
      <c r="A929" t="s">
        <v>414</v>
      </c>
      <c r="B929" t="s">
        <v>34</v>
      </c>
      <c r="C929" s="2">
        <f>HYPERLINK("https://sao.dolgi.msk.ru/account/1404181164/", 1404181164)</f>
        <v>1404181164</v>
      </c>
      <c r="D929">
        <v>-3017.38</v>
      </c>
    </row>
    <row r="930" spans="1:4" hidden="1" x14ac:dyDescent="0.25">
      <c r="A930" t="s">
        <v>414</v>
      </c>
      <c r="B930" t="s">
        <v>35</v>
      </c>
      <c r="C930" s="2">
        <f>HYPERLINK("https://sao.dolgi.msk.ru/account/1404181017/", 1404181017)</f>
        <v>1404181017</v>
      </c>
      <c r="D930">
        <v>0</v>
      </c>
    </row>
    <row r="931" spans="1:4" hidden="1" x14ac:dyDescent="0.25">
      <c r="A931" t="s">
        <v>414</v>
      </c>
      <c r="B931" t="s">
        <v>36</v>
      </c>
      <c r="C931" s="2">
        <f>HYPERLINK("https://sao.dolgi.msk.ru/account/1404181391/", 1404181391)</f>
        <v>1404181391</v>
      </c>
      <c r="D931">
        <v>0</v>
      </c>
    </row>
    <row r="932" spans="1:4" hidden="1" x14ac:dyDescent="0.25">
      <c r="A932" t="s">
        <v>414</v>
      </c>
      <c r="B932" t="s">
        <v>37</v>
      </c>
      <c r="C932" s="2">
        <f>HYPERLINK("https://sao.dolgi.msk.ru/account/1404181025/", 1404181025)</f>
        <v>1404181025</v>
      </c>
      <c r="D932">
        <v>0</v>
      </c>
    </row>
    <row r="933" spans="1:4" hidden="1" x14ac:dyDescent="0.25">
      <c r="A933" t="s">
        <v>414</v>
      </c>
      <c r="B933" t="s">
        <v>38</v>
      </c>
      <c r="C933" s="2">
        <f>HYPERLINK("https://sao.dolgi.msk.ru/account/1404181279/", 1404181279)</f>
        <v>1404181279</v>
      </c>
      <c r="D933">
        <v>-6582.79</v>
      </c>
    </row>
    <row r="934" spans="1:4" x14ac:dyDescent="0.25">
      <c r="A934" t="s">
        <v>414</v>
      </c>
      <c r="B934" t="s">
        <v>39</v>
      </c>
      <c r="C934" s="2">
        <f>HYPERLINK("https://sao.dolgi.msk.ru/account/1404181172/", 1404181172)</f>
        <v>1404181172</v>
      </c>
      <c r="D934">
        <v>7500.03</v>
      </c>
    </row>
    <row r="935" spans="1:4" x14ac:dyDescent="0.25">
      <c r="A935" t="s">
        <v>414</v>
      </c>
      <c r="B935" t="s">
        <v>40</v>
      </c>
      <c r="C935" s="2">
        <f>HYPERLINK("https://sao.dolgi.msk.ru/account/1404181084/", 1404181084)</f>
        <v>1404181084</v>
      </c>
      <c r="D935">
        <v>22238.240000000002</v>
      </c>
    </row>
    <row r="936" spans="1:4" hidden="1" x14ac:dyDescent="0.25">
      <c r="A936" t="s">
        <v>414</v>
      </c>
      <c r="B936" t="s">
        <v>41</v>
      </c>
      <c r="C936" s="2">
        <f>HYPERLINK("https://sao.dolgi.msk.ru/account/1404180639/", 1404180639)</f>
        <v>1404180639</v>
      </c>
      <c r="D936">
        <v>-6294.64</v>
      </c>
    </row>
    <row r="937" spans="1:4" hidden="1" x14ac:dyDescent="0.25">
      <c r="A937" t="s">
        <v>414</v>
      </c>
      <c r="B937" t="s">
        <v>42</v>
      </c>
      <c r="C937" s="2">
        <f>HYPERLINK("https://sao.dolgi.msk.ru/account/1404180743/", 1404180743)</f>
        <v>1404180743</v>
      </c>
      <c r="D937">
        <v>0</v>
      </c>
    </row>
    <row r="938" spans="1:4" hidden="1" x14ac:dyDescent="0.25">
      <c r="A938" t="s">
        <v>414</v>
      </c>
      <c r="B938" t="s">
        <v>43</v>
      </c>
      <c r="C938" s="2">
        <f>HYPERLINK("https://sao.dolgi.msk.ru/account/1404180647/", 1404180647)</f>
        <v>1404180647</v>
      </c>
      <c r="D938">
        <v>-5965.7</v>
      </c>
    </row>
    <row r="939" spans="1:4" hidden="1" x14ac:dyDescent="0.25">
      <c r="A939" t="s">
        <v>414</v>
      </c>
      <c r="B939" t="s">
        <v>44</v>
      </c>
      <c r="C939" s="2">
        <f>HYPERLINK("https://sao.dolgi.msk.ru/account/1404181105/", 1404181105)</f>
        <v>1404181105</v>
      </c>
      <c r="D939">
        <v>0</v>
      </c>
    </row>
    <row r="940" spans="1:4" hidden="1" x14ac:dyDescent="0.25">
      <c r="A940" t="s">
        <v>414</v>
      </c>
      <c r="B940" t="s">
        <v>45</v>
      </c>
      <c r="C940" s="2">
        <f>HYPERLINK("https://sao.dolgi.msk.ru/account/1404180831/", 1404180831)</f>
        <v>1404180831</v>
      </c>
      <c r="D940">
        <v>-3763.71</v>
      </c>
    </row>
    <row r="941" spans="1:4" hidden="1" x14ac:dyDescent="0.25">
      <c r="A941" t="s">
        <v>414</v>
      </c>
      <c r="B941" t="s">
        <v>46</v>
      </c>
      <c r="C941" s="2">
        <f>HYPERLINK("https://sao.dolgi.msk.ru/account/1404180858/", 1404180858)</f>
        <v>1404180858</v>
      </c>
      <c r="D941">
        <v>-2955.09</v>
      </c>
    </row>
    <row r="942" spans="1:4" hidden="1" x14ac:dyDescent="0.25">
      <c r="A942" t="s">
        <v>414</v>
      </c>
      <c r="B942" t="s">
        <v>47</v>
      </c>
      <c r="C942" s="2">
        <f>HYPERLINK("https://sao.dolgi.msk.ru/account/1404181252/", 1404181252)</f>
        <v>1404181252</v>
      </c>
      <c r="D942">
        <v>0</v>
      </c>
    </row>
    <row r="943" spans="1:4" hidden="1" x14ac:dyDescent="0.25">
      <c r="A943" t="s">
        <v>414</v>
      </c>
      <c r="B943" t="s">
        <v>48</v>
      </c>
      <c r="C943" s="2">
        <f>HYPERLINK("https://sao.dolgi.msk.ru/account/1404180989/", 1404180989)</f>
        <v>1404180989</v>
      </c>
      <c r="D943">
        <v>-2445.0700000000002</v>
      </c>
    </row>
    <row r="944" spans="1:4" hidden="1" x14ac:dyDescent="0.25">
      <c r="A944" t="s">
        <v>414</v>
      </c>
      <c r="B944" t="s">
        <v>49</v>
      </c>
      <c r="C944" s="2">
        <f>HYPERLINK("https://sao.dolgi.msk.ru/account/1404180567/", 1404180567)</f>
        <v>1404180567</v>
      </c>
      <c r="D944">
        <v>0</v>
      </c>
    </row>
    <row r="945" spans="1:4" hidden="1" x14ac:dyDescent="0.25">
      <c r="A945" t="s">
        <v>414</v>
      </c>
      <c r="B945" t="s">
        <v>50</v>
      </c>
      <c r="C945" s="2">
        <f>HYPERLINK("https://sao.dolgi.msk.ru/account/1404181113/", 1404181113)</f>
        <v>1404181113</v>
      </c>
      <c r="D945">
        <v>0</v>
      </c>
    </row>
    <row r="946" spans="1:4" hidden="1" x14ac:dyDescent="0.25">
      <c r="A946" t="s">
        <v>414</v>
      </c>
      <c r="B946" t="s">
        <v>51</v>
      </c>
      <c r="C946" s="2">
        <f>HYPERLINK("https://sao.dolgi.msk.ru/account/1404180997/", 1404180997)</f>
        <v>1404180997</v>
      </c>
      <c r="D946">
        <v>-6088.53</v>
      </c>
    </row>
    <row r="947" spans="1:4" hidden="1" x14ac:dyDescent="0.25">
      <c r="A947" t="s">
        <v>414</v>
      </c>
      <c r="B947" t="s">
        <v>52</v>
      </c>
      <c r="C947" s="2">
        <f>HYPERLINK("https://sao.dolgi.msk.ru/account/1404181308/", 1404181308)</f>
        <v>1404181308</v>
      </c>
      <c r="D947">
        <v>-4004.95</v>
      </c>
    </row>
    <row r="948" spans="1:4" x14ac:dyDescent="0.25">
      <c r="A948" t="s">
        <v>414</v>
      </c>
      <c r="B948" t="s">
        <v>53</v>
      </c>
      <c r="C948" s="2">
        <f>HYPERLINK("https://sao.dolgi.msk.ru/account/1404180938/", 1404180938)</f>
        <v>1404180938</v>
      </c>
      <c r="D948">
        <v>1152.1199999999999</v>
      </c>
    </row>
    <row r="949" spans="1:4" x14ac:dyDescent="0.25">
      <c r="A949" t="s">
        <v>414</v>
      </c>
      <c r="B949" t="s">
        <v>54</v>
      </c>
      <c r="C949" s="2">
        <f>HYPERLINK("https://sao.dolgi.msk.ru/account/1404180698/", 1404180698)</f>
        <v>1404180698</v>
      </c>
      <c r="D949">
        <v>16426.240000000002</v>
      </c>
    </row>
    <row r="950" spans="1:4" x14ac:dyDescent="0.25">
      <c r="A950" t="s">
        <v>414</v>
      </c>
      <c r="B950" t="s">
        <v>55</v>
      </c>
      <c r="C950" s="2">
        <f>HYPERLINK("https://sao.dolgi.msk.ru/account/1404180559/", 1404180559)</f>
        <v>1404180559</v>
      </c>
      <c r="D950">
        <v>7649.16</v>
      </c>
    </row>
    <row r="951" spans="1:4" hidden="1" x14ac:dyDescent="0.25">
      <c r="A951" t="s">
        <v>414</v>
      </c>
      <c r="B951" t="s">
        <v>56</v>
      </c>
      <c r="C951" s="2">
        <f>HYPERLINK("https://sao.dolgi.msk.ru/account/1404180946/", 1404180946)</f>
        <v>1404180946</v>
      </c>
      <c r="D951">
        <v>-1768.69</v>
      </c>
    </row>
    <row r="952" spans="1:4" hidden="1" x14ac:dyDescent="0.25">
      <c r="A952" t="s">
        <v>414</v>
      </c>
      <c r="B952" t="s">
        <v>57</v>
      </c>
      <c r="C952" s="2">
        <f>HYPERLINK("https://sao.dolgi.msk.ru/account/1404181316/", 1404181316)</f>
        <v>1404181316</v>
      </c>
      <c r="D952">
        <v>-3468.55</v>
      </c>
    </row>
    <row r="953" spans="1:4" hidden="1" x14ac:dyDescent="0.25">
      <c r="A953" t="s">
        <v>414</v>
      </c>
      <c r="B953" t="s">
        <v>58</v>
      </c>
      <c r="C953" s="2">
        <f>HYPERLINK("https://sao.dolgi.msk.ru/account/1404181324/", 1404181324)</f>
        <v>1404181324</v>
      </c>
      <c r="D953">
        <v>-5693</v>
      </c>
    </row>
    <row r="954" spans="1:4" hidden="1" x14ac:dyDescent="0.25">
      <c r="A954" t="s">
        <v>414</v>
      </c>
      <c r="B954" t="s">
        <v>59</v>
      </c>
      <c r="C954" s="2">
        <f>HYPERLINK("https://sao.dolgi.msk.ru/account/1404180954/", 1404180954)</f>
        <v>1404180954</v>
      </c>
      <c r="D954">
        <v>-2584.19</v>
      </c>
    </row>
    <row r="955" spans="1:4" hidden="1" x14ac:dyDescent="0.25">
      <c r="A955" t="s">
        <v>414</v>
      </c>
      <c r="B955" t="s">
        <v>60</v>
      </c>
      <c r="C955" s="2">
        <f>HYPERLINK("https://sao.dolgi.msk.ru/account/1404181033/", 1404181033)</f>
        <v>1404181033</v>
      </c>
      <c r="D955">
        <v>-3850.86</v>
      </c>
    </row>
    <row r="956" spans="1:4" x14ac:dyDescent="0.25">
      <c r="A956" t="s">
        <v>414</v>
      </c>
      <c r="B956" t="s">
        <v>61</v>
      </c>
      <c r="C956" s="2">
        <f>HYPERLINK("https://sao.dolgi.msk.ru/account/1404180794/", 1404180794)</f>
        <v>1404180794</v>
      </c>
      <c r="D956">
        <v>5609.31</v>
      </c>
    </row>
    <row r="957" spans="1:4" x14ac:dyDescent="0.25">
      <c r="A957" t="s">
        <v>414</v>
      </c>
      <c r="B957" t="s">
        <v>62</v>
      </c>
      <c r="C957" s="2">
        <f>HYPERLINK("https://sao.dolgi.msk.ru/account/1404180719/", 1404180719)</f>
        <v>1404180719</v>
      </c>
      <c r="D957">
        <v>1764.13</v>
      </c>
    </row>
    <row r="958" spans="1:4" hidden="1" x14ac:dyDescent="0.25">
      <c r="A958" t="s">
        <v>414</v>
      </c>
      <c r="B958" t="s">
        <v>63</v>
      </c>
      <c r="C958" s="2">
        <f>HYPERLINK("https://sao.dolgi.msk.ru/account/1404181332/", 1404181332)</f>
        <v>1404181332</v>
      </c>
      <c r="D958">
        <v>0</v>
      </c>
    </row>
    <row r="959" spans="1:4" hidden="1" x14ac:dyDescent="0.25">
      <c r="A959" t="s">
        <v>414</v>
      </c>
      <c r="B959" t="s">
        <v>64</v>
      </c>
      <c r="C959" s="2">
        <f>HYPERLINK("https://sao.dolgi.msk.ru/account/1404181367/", 1404181367)</f>
        <v>1404181367</v>
      </c>
      <c r="D959">
        <v>-5520.48</v>
      </c>
    </row>
    <row r="960" spans="1:4" hidden="1" x14ac:dyDescent="0.25">
      <c r="A960" t="s">
        <v>414</v>
      </c>
      <c r="B960" t="s">
        <v>65</v>
      </c>
      <c r="C960" s="2">
        <f>HYPERLINK("https://sao.dolgi.msk.ru/account/1404180591/", 1404180591)</f>
        <v>1404180591</v>
      </c>
      <c r="D960">
        <v>-6331.91</v>
      </c>
    </row>
    <row r="961" spans="1:4" hidden="1" x14ac:dyDescent="0.25">
      <c r="A961" t="s">
        <v>414</v>
      </c>
      <c r="B961" t="s">
        <v>66</v>
      </c>
      <c r="C961" s="2">
        <f>HYPERLINK("https://sao.dolgi.msk.ru/account/1404181041/", 1404181041)</f>
        <v>1404181041</v>
      </c>
      <c r="D961">
        <v>-2451.06</v>
      </c>
    </row>
    <row r="962" spans="1:4" hidden="1" x14ac:dyDescent="0.25">
      <c r="A962" t="s">
        <v>414</v>
      </c>
      <c r="B962" t="s">
        <v>67</v>
      </c>
      <c r="C962" s="2">
        <f>HYPERLINK("https://sao.dolgi.msk.ru/account/1404180727/", 1404180727)</f>
        <v>1404180727</v>
      </c>
      <c r="D962">
        <v>-6036.85</v>
      </c>
    </row>
    <row r="963" spans="1:4" hidden="1" x14ac:dyDescent="0.25">
      <c r="A963" t="s">
        <v>414</v>
      </c>
      <c r="B963" t="s">
        <v>68</v>
      </c>
      <c r="C963" s="2">
        <f>HYPERLINK("https://sao.dolgi.msk.ru/account/1404181201/", 1404181201)</f>
        <v>1404181201</v>
      </c>
      <c r="D963">
        <v>-1340.33</v>
      </c>
    </row>
    <row r="964" spans="1:4" hidden="1" x14ac:dyDescent="0.25">
      <c r="A964" t="s">
        <v>414</v>
      </c>
      <c r="B964" t="s">
        <v>69</v>
      </c>
      <c r="C964" s="2">
        <f>HYPERLINK("https://sao.dolgi.msk.ru/account/1404180604/", 1404180604)</f>
        <v>1404180604</v>
      </c>
      <c r="D964">
        <v>-3943.22</v>
      </c>
    </row>
    <row r="965" spans="1:4" hidden="1" x14ac:dyDescent="0.25">
      <c r="A965" t="s">
        <v>414</v>
      </c>
      <c r="B965" t="s">
        <v>70</v>
      </c>
      <c r="C965" s="2">
        <f>HYPERLINK("https://sao.dolgi.msk.ru/account/1404181375/", 1404181375)</f>
        <v>1404181375</v>
      </c>
      <c r="D965">
        <v>-4930.1000000000004</v>
      </c>
    </row>
    <row r="966" spans="1:4" hidden="1" x14ac:dyDescent="0.25">
      <c r="A966" t="s">
        <v>414</v>
      </c>
      <c r="B966" t="s">
        <v>71</v>
      </c>
      <c r="C966" s="2">
        <f>HYPERLINK("https://sao.dolgi.msk.ru/account/1404181383/", 1404181383)</f>
        <v>1404181383</v>
      </c>
      <c r="D966">
        <v>-4972.9399999999996</v>
      </c>
    </row>
    <row r="967" spans="1:4" hidden="1" x14ac:dyDescent="0.25">
      <c r="A967" t="s">
        <v>414</v>
      </c>
      <c r="B967" t="s">
        <v>72</v>
      </c>
      <c r="C967" s="2">
        <f>HYPERLINK("https://sao.dolgi.msk.ru/account/1404180807/", 1404180807)</f>
        <v>1404180807</v>
      </c>
      <c r="D967">
        <v>-4015.74</v>
      </c>
    </row>
    <row r="968" spans="1:4" hidden="1" x14ac:dyDescent="0.25">
      <c r="A968" t="s">
        <v>414</v>
      </c>
      <c r="B968" t="s">
        <v>73</v>
      </c>
      <c r="C968" s="2">
        <f>HYPERLINK("https://sao.dolgi.msk.ru/account/1404181236/", 1404181236)</f>
        <v>1404181236</v>
      </c>
      <c r="D968">
        <v>-3774.78</v>
      </c>
    </row>
    <row r="969" spans="1:4" x14ac:dyDescent="0.25">
      <c r="A969" t="s">
        <v>414</v>
      </c>
      <c r="B969" t="s">
        <v>74</v>
      </c>
      <c r="C969" s="2">
        <f>HYPERLINK("https://sao.dolgi.msk.ru/account/1404180735/", 1404180735)</f>
        <v>1404180735</v>
      </c>
      <c r="D969">
        <v>302.24</v>
      </c>
    </row>
    <row r="970" spans="1:4" hidden="1" x14ac:dyDescent="0.25">
      <c r="A970" t="s">
        <v>414</v>
      </c>
      <c r="B970" t="s">
        <v>75</v>
      </c>
      <c r="C970" s="2">
        <f>HYPERLINK("https://sao.dolgi.msk.ru/account/1404180815/", 1404180815)</f>
        <v>1404180815</v>
      </c>
      <c r="D970">
        <v>-2914.26</v>
      </c>
    </row>
    <row r="971" spans="1:4" hidden="1" x14ac:dyDescent="0.25">
      <c r="A971" t="s">
        <v>414</v>
      </c>
      <c r="B971" t="s">
        <v>76</v>
      </c>
      <c r="C971" s="2">
        <f>HYPERLINK("https://sao.dolgi.msk.ru/account/1404181068/", 1404181068)</f>
        <v>1404181068</v>
      </c>
      <c r="D971">
        <v>-3841.12</v>
      </c>
    </row>
    <row r="972" spans="1:4" x14ac:dyDescent="0.25">
      <c r="A972" t="s">
        <v>415</v>
      </c>
      <c r="B972" t="s">
        <v>5</v>
      </c>
      <c r="C972" s="2">
        <f>HYPERLINK("https://sao.dolgi.msk.ru/account/1404182669/", 1404182669)</f>
        <v>1404182669</v>
      </c>
      <c r="D972">
        <v>929.88</v>
      </c>
    </row>
    <row r="973" spans="1:4" hidden="1" x14ac:dyDescent="0.25">
      <c r="A973" t="s">
        <v>415</v>
      </c>
      <c r="B973" t="s">
        <v>6</v>
      </c>
      <c r="C973" s="2">
        <f>HYPERLINK("https://sao.dolgi.msk.ru/account/1404181447/", 1404181447)</f>
        <v>1404181447</v>
      </c>
      <c r="D973">
        <v>0</v>
      </c>
    </row>
    <row r="974" spans="1:4" hidden="1" x14ac:dyDescent="0.25">
      <c r="A974" t="s">
        <v>415</v>
      </c>
      <c r="B974" t="s">
        <v>7</v>
      </c>
      <c r="C974" s="2">
        <f>HYPERLINK("https://sao.dolgi.msk.ru/account/1404182677/", 1404182677)</f>
        <v>1404182677</v>
      </c>
      <c r="D974">
        <v>-7133.06</v>
      </c>
    </row>
    <row r="975" spans="1:4" hidden="1" x14ac:dyDescent="0.25">
      <c r="A975" t="s">
        <v>415</v>
      </c>
      <c r="B975" t="s">
        <v>8</v>
      </c>
      <c r="C975" s="2">
        <f>HYPERLINK("https://sao.dolgi.msk.ru/account/1404182095/", 1404182095)</f>
        <v>1404182095</v>
      </c>
      <c r="D975">
        <v>-5625.54</v>
      </c>
    </row>
    <row r="976" spans="1:4" hidden="1" x14ac:dyDescent="0.25">
      <c r="A976" t="s">
        <v>415</v>
      </c>
      <c r="B976" t="s">
        <v>9</v>
      </c>
      <c r="C976" s="2">
        <f>HYPERLINK("https://sao.dolgi.msk.ru/account/1404182837/", 1404182837)</f>
        <v>1404182837</v>
      </c>
      <c r="D976">
        <v>-4324.5600000000004</v>
      </c>
    </row>
    <row r="977" spans="1:4" x14ac:dyDescent="0.25">
      <c r="A977" t="s">
        <v>415</v>
      </c>
      <c r="B977" t="s">
        <v>10</v>
      </c>
      <c r="C977" s="2">
        <f>HYPERLINK("https://sao.dolgi.msk.ru/account/1404181623/", 1404181623)</f>
        <v>1404181623</v>
      </c>
      <c r="D977">
        <v>8134.74</v>
      </c>
    </row>
    <row r="978" spans="1:4" hidden="1" x14ac:dyDescent="0.25">
      <c r="A978" t="s">
        <v>415</v>
      </c>
      <c r="B978" t="s">
        <v>11</v>
      </c>
      <c r="C978" s="2">
        <f>HYPERLINK("https://sao.dolgi.msk.ru/account/1404182028/", 1404182028)</f>
        <v>1404182028</v>
      </c>
      <c r="D978">
        <v>0</v>
      </c>
    </row>
    <row r="979" spans="1:4" hidden="1" x14ac:dyDescent="0.25">
      <c r="A979" t="s">
        <v>415</v>
      </c>
      <c r="B979" t="s">
        <v>12</v>
      </c>
      <c r="C979" s="2">
        <f>HYPERLINK("https://sao.dolgi.msk.ru/account/1404182423/", 1404182423)</f>
        <v>1404182423</v>
      </c>
      <c r="D979">
        <v>-4404.04</v>
      </c>
    </row>
    <row r="980" spans="1:4" hidden="1" x14ac:dyDescent="0.25">
      <c r="A980" t="s">
        <v>415</v>
      </c>
      <c r="B980" t="s">
        <v>13</v>
      </c>
      <c r="C980" s="2">
        <f>HYPERLINK("https://sao.dolgi.msk.ru/account/1404182087/", 1404182087)</f>
        <v>1404182087</v>
      </c>
      <c r="D980">
        <v>0</v>
      </c>
    </row>
    <row r="981" spans="1:4" hidden="1" x14ac:dyDescent="0.25">
      <c r="A981" t="s">
        <v>415</v>
      </c>
      <c r="B981" t="s">
        <v>14</v>
      </c>
      <c r="C981" s="2">
        <f>HYPERLINK("https://sao.dolgi.msk.ru/account/1404182167/", 1404182167)</f>
        <v>1404182167</v>
      </c>
      <c r="D981">
        <v>-1578.58</v>
      </c>
    </row>
    <row r="982" spans="1:4" hidden="1" x14ac:dyDescent="0.25">
      <c r="A982" t="s">
        <v>415</v>
      </c>
      <c r="B982" t="s">
        <v>15</v>
      </c>
      <c r="C982" s="2">
        <f>HYPERLINK("https://sao.dolgi.msk.ru/account/1404181754/", 1404181754)</f>
        <v>1404181754</v>
      </c>
      <c r="D982">
        <v>-4306.1400000000003</v>
      </c>
    </row>
    <row r="983" spans="1:4" hidden="1" x14ac:dyDescent="0.25">
      <c r="A983" t="s">
        <v>415</v>
      </c>
      <c r="B983" t="s">
        <v>16</v>
      </c>
      <c r="C983" s="2">
        <f>HYPERLINK("https://sao.dolgi.msk.ru/account/1404182503/", 1404182503)</f>
        <v>1404182503</v>
      </c>
      <c r="D983">
        <v>-4994.7299999999996</v>
      </c>
    </row>
    <row r="984" spans="1:4" hidden="1" x14ac:dyDescent="0.25">
      <c r="A984" t="s">
        <v>415</v>
      </c>
      <c r="B984" t="s">
        <v>17</v>
      </c>
      <c r="C984" s="2">
        <f>HYPERLINK("https://sao.dolgi.msk.ru/account/1404182992/", 1404182992)</f>
        <v>1404182992</v>
      </c>
      <c r="D984">
        <v>0</v>
      </c>
    </row>
    <row r="985" spans="1:4" hidden="1" x14ac:dyDescent="0.25">
      <c r="A985" t="s">
        <v>415</v>
      </c>
      <c r="B985" t="s">
        <v>18</v>
      </c>
      <c r="C985" s="2">
        <f>HYPERLINK("https://sao.dolgi.msk.ru/account/1404183987/", 1404183987)</f>
        <v>1404183987</v>
      </c>
      <c r="D985">
        <v>-3212.59</v>
      </c>
    </row>
    <row r="986" spans="1:4" hidden="1" x14ac:dyDescent="0.25">
      <c r="A986" t="s">
        <v>415</v>
      </c>
      <c r="B986" t="s">
        <v>19</v>
      </c>
      <c r="C986" s="2">
        <f>HYPERLINK("https://sao.dolgi.msk.ru/account/1404182634/", 1404182634)</f>
        <v>1404182634</v>
      </c>
      <c r="D986">
        <v>-3846.29</v>
      </c>
    </row>
    <row r="987" spans="1:4" hidden="1" x14ac:dyDescent="0.25">
      <c r="A987" t="s">
        <v>415</v>
      </c>
      <c r="B987" t="s">
        <v>20</v>
      </c>
      <c r="C987" s="2">
        <f>HYPERLINK("https://sao.dolgi.msk.ru/account/1404181893/", 1404181893)</f>
        <v>1404181893</v>
      </c>
      <c r="D987">
        <v>-3399.56</v>
      </c>
    </row>
    <row r="988" spans="1:4" hidden="1" x14ac:dyDescent="0.25">
      <c r="A988" t="s">
        <v>415</v>
      </c>
      <c r="B988" t="s">
        <v>21</v>
      </c>
      <c r="C988" s="2">
        <f>HYPERLINK("https://sao.dolgi.msk.ru/account/1404182482/", 1404182482)</f>
        <v>1404182482</v>
      </c>
      <c r="D988">
        <v>-4873.55</v>
      </c>
    </row>
    <row r="989" spans="1:4" hidden="1" x14ac:dyDescent="0.25">
      <c r="A989" t="s">
        <v>415</v>
      </c>
      <c r="B989" t="s">
        <v>22</v>
      </c>
      <c r="C989" s="2">
        <f>HYPERLINK("https://sao.dolgi.msk.ru/account/1404182394/", 1404182394)</f>
        <v>1404182394</v>
      </c>
      <c r="D989">
        <v>0</v>
      </c>
    </row>
    <row r="990" spans="1:4" hidden="1" x14ac:dyDescent="0.25">
      <c r="A990" t="s">
        <v>415</v>
      </c>
      <c r="B990" t="s">
        <v>23</v>
      </c>
      <c r="C990" s="2">
        <f>HYPERLINK("https://sao.dolgi.msk.ru/account/1404182474/", 1404182474)</f>
        <v>1404182474</v>
      </c>
      <c r="D990">
        <v>0</v>
      </c>
    </row>
    <row r="991" spans="1:4" hidden="1" x14ac:dyDescent="0.25">
      <c r="A991" t="s">
        <v>415</v>
      </c>
      <c r="B991" t="s">
        <v>24</v>
      </c>
      <c r="C991" s="2">
        <f>HYPERLINK("https://sao.dolgi.msk.ru/account/1404183741/", 1404183741)</f>
        <v>1404183741</v>
      </c>
      <c r="D991">
        <v>0</v>
      </c>
    </row>
    <row r="992" spans="1:4" hidden="1" x14ac:dyDescent="0.25">
      <c r="A992" t="s">
        <v>415</v>
      </c>
      <c r="B992" t="s">
        <v>25</v>
      </c>
      <c r="C992" s="2">
        <f>HYPERLINK("https://sao.dolgi.msk.ru/account/1404182685/", 1404182685)</f>
        <v>1404182685</v>
      </c>
      <c r="D992">
        <v>-3462.42</v>
      </c>
    </row>
    <row r="993" spans="1:4" hidden="1" x14ac:dyDescent="0.25">
      <c r="A993" t="s">
        <v>415</v>
      </c>
      <c r="B993" t="s">
        <v>26</v>
      </c>
      <c r="C993" s="2">
        <f>HYPERLINK("https://sao.dolgi.msk.ru/account/1404183725/", 1404183725)</f>
        <v>1404183725</v>
      </c>
      <c r="D993">
        <v>-3365.22</v>
      </c>
    </row>
    <row r="994" spans="1:4" hidden="1" x14ac:dyDescent="0.25">
      <c r="A994" t="s">
        <v>415</v>
      </c>
      <c r="B994" t="s">
        <v>27</v>
      </c>
      <c r="C994" s="2">
        <f>HYPERLINK("https://sao.dolgi.msk.ru/account/1404183397/", 1404183397)</f>
        <v>1404183397</v>
      </c>
      <c r="D994">
        <v>-6516.82</v>
      </c>
    </row>
    <row r="995" spans="1:4" hidden="1" x14ac:dyDescent="0.25">
      <c r="A995" t="s">
        <v>415</v>
      </c>
      <c r="B995" t="s">
        <v>28</v>
      </c>
      <c r="C995" s="2">
        <f>HYPERLINK("https://sao.dolgi.msk.ru/account/1404182415/", 1404182415)</f>
        <v>1404182415</v>
      </c>
      <c r="D995">
        <v>-4119.1000000000004</v>
      </c>
    </row>
    <row r="996" spans="1:4" hidden="1" x14ac:dyDescent="0.25">
      <c r="A996" t="s">
        <v>415</v>
      </c>
      <c r="B996" t="s">
        <v>29</v>
      </c>
      <c r="C996" s="2">
        <f>HYPERLINK("https://sao.dolgi.msk.ru/account/1404183071/", 1404183071)</f>
        <v>1404183071</v>
      </c>
      <c r="D996">
        <v>-4046.58</v>
      </c>
    </row>
    <row r="997" spans="1:4" hidden="1" x14ac:dyDescent="0.25">
      <c r="A997" t="s">
        <v>415</v>
      </c>
      <c r="B997" t="s">
        <v>30</v>
      </c>
      <c r="C997" s="2">
        <f>HYPERLINK("https://sao.dolgi.msk.ru/account/1404182845/", 1404182845)</f>
        <v>1404182845</v>
      </c>
      <c r="D997">
        <v>-4875.34</v>
      </c>
    </row>
    <row r="998" spans="1:4" hidden="1" x14ac:dyDescent="0.25">
      <c r="A998" t="s">
        <v>415</v>
      </c>
      <c r="B998" t="s">
        <v>31</v>
      </c>
      <c r="C998" s="2">
        <f>HYPERLINK("https://sao.dolgi.msk.ru/account/1404183194/", 1404183194)</f>
        <v>1404183194</v>
      </c>
      <c r="D998">
        <v>-2799.58</v>
      </c>
    </row>
    <row r="999" spans="1:4" hidden="1" x14ac:dyDescent="0.25">
      <c r="A999" t="s">
        <v>415</v>
      </c>
      <c r="B999" t="s">
        <v>32</v>
      </c>
      <c r="C999" s="2">
        <f>HYPERLINK("https://sao.dolgi.msk.ru/account/1404181615/", 1404181615)</f>
        <v>1404181615</v>
      </c>
      <c r="D999">
        <v>0</v>
      </c>
    </row>
    <row r="1000" spans="1:4" hidden="1" x14ac:dyDescent="0.25">
      <c r="A1000" t="s">
        <v>415</v>
      </c>
      <c r="B1000" t="s">
        <v>33</v>
      </c>
      <c r="C1000" s="2">
        <f>HYPERLINK("https://sao.dolgi.msk.ru/account/1404183135/", 1404183135)</f>
        <v>1404183135</v>
      </c>
      <c r="D1000">
        <v>0</v>
      </c>
    </row>
    <row r="1001" spans="1:4" hidden="1" x14ac:dyDescent="0.25">
      <c r="A1001" t="s">
        <v>415</v>
      </c>
      <c r="B1001" t="s">
        <v>34</v>
      </c>
      <c r="C1001" s="2">
        <f>HYPERLINK("https://sao.dolgi.msk.ru/account/1404183178/", 1404183178)</f>
        <v>1404183178</v>
      </c>
      <c r="D1001">
        <v>0</v>
      </c>
    </row>
    <row r="1002" spans="1:4" x14ac:dyDescent="0.25">
      <c r="A1002" t="s">
        <v>415</v>
      </c>
      <c r="B1002" t="s">
        <v>35</v>
      </c>
      <c r="C1002" s="2">
        <f>HYPERLINK("https://sao.dolgi.msk.ru/account/1404183151/", 1404183151)</f>
        <v>1404183151</v>
      </c>
      <c r="D1002">
        <v>549.58000000000004</v>
      </c>
    </row>
    <row r="1003" spans="1:4" hidden="1" x14ac:dyDescent="0.25">
      <c r="A1003" t="s">
        <v>415</v>
      </c>
      <c r="B1003" t="s">
        <v>36</v>
      </c>
      <c r="C1003" s="2">
        <f>HYPERLINK("https://sao.dolgi.msk.ru/account/1404183055/", 1404183055)</f>
        <v>1404183055</v>
      </c>
      <c r="D1003">
        <v>0</v>
      </c>
    </row>
    <row r="1004" spans="1:4" hidden="1" x14ac:dyDescent="0.25">
      <c r="A1004" t="s">
        <v>415</v>
      </c>
      <c r="B1004" t="s">
        <v>37</v>
      </c>
      <c r="C1004" s="2">
        <f>HYPERLINK("https://sao.dolgi.msk.ru/account/1404183813/", 1404183813)</f>
        <v>1404183813</v>
      </c>
      <c r="D1004">
        <v>-6792.21</v>
      </c>
    </row>
    <row r="1005" spans="1:4" hidden="1" x14ac:dyDescent="0.25">
      <c r="A1005" t="s">
        <v>415</v>
      </c>
      <c r="B1005" t="s">
        <v>38</v>
      </c>
      <c r="C1005" s="2">
        <f>HYPERLINK("https://sao.dolgi.msk.ru/account/1404182853/", 1404182853)</f>
        <v>1404182853</v>
      </c>
      <c r="D1005">
        <v>0</v>
      </c>
    </row>
    <row r="1006" spans="1:4" hidden="1" x14ac:dyDescent="0.25">
      <c r="A1006" t="s">
        <v>415</v>
      </c>
      <c r="B1006" t="s">
        <v>39</v>
      </c>
      <c r="C1006" s="2">
        <f>HYPERLINK("https://sao.dolgi.msk.ru/account/1404182546/", 1404182546)</f>
        <v>1404182546</v>
      </c>
      <c r="D1006">
        <v>0</v>
      </c>
    </row>
    <row r="1007" spans="1:4" hidden="1" x14ac:dyDescent="0.25">
      <c r="A1007" t="s">
        <v>415</v>
      </c>
      <c r="B1007" t="s">
        <v>40</v>
      </c>
      <c r="C1007" s="2">
        <f>HYPERLINK("https://sao.dolgi.msk.ru/account/1404183389/", 1404183389)</f>
        <v>1404183389</v>
      </c>
      <c r="D1007">
        <v>-2269.54</v>
      </c>
    </row>
    <row r="1008" spans="1:4" hidden="1" x14ac:dyDescent="0.25">
      <c r="A1008" t="s">
        <v>415</v>
      </c>
      <c r="B1008" t="s">
        <v>41</v>
      </c>
      <c r="C1008" s="2">
        <f>HYPERLINK("https://sao.dolgi.msk.ru/account/1404183098/", 1404183098)</f>
        <v>1404183098</v>
      </c>
      <c r="D1008">
        <v>-5866.6</v>
      </c>
    </row>
    <row r="1009" spans="1:4" hidden="1" x14ac:dyDescent="0.25">
      <c r="A1009" t="s">
        <v>415</v>
      </c>
      <c r="B1009" t="s">
        <v>42</v>
      </c>
      <c r="C1009" s="2">
        <f>HYPERLINK("https://sao.dolgi.msk.ru/account/1404184007/", 1404184007)</f>
        <v>1404184007</v>
      </c>
      <c r="D1009">
        <v>-4283.7</v>
      </c>
    </row>
    <row r="1010" spans="1:4" hidden="1" x14ac:dyDescent="0.25">
      <c r="A1010" t="s">
        <v>415</v>
      </c>
      <c r="B1010" t="s">
        <v>43</v>
      </c>
      <c r="C1010" s="2">
        <f>HYPERLINK("https://sao.dolgi.msk.ru/account/1404183274/", 1404183274)</f>
        <v>1404183274</v>
      </c>
      <c r="D1010">
        <v>-3917.44</v>
      </c>
    </row>
    <row r="1011" spans="1:4" hidden="1" x14ac:dyDescent="0.25">
      <c r="A1011" t="s">
        <v>415</v>
      </c>
      <c r="B1011" t="s">
        <v>44</v>
      </c>
      <c r="C1011" s="2">
        <f>HYPERLINK("https://sao.dolgi.msk.ru/account/1404183442/", 1404183442)</f>
        <v>1404183442</v>
      </c>
      <c r="D1011">
        <v>0</v>
      </c>
    </row>
    <row r="1012" spans="1:4" hidden="1" x14ac:dyDescent="0.25">
      <c r="A1012" t="s">
        <v>415</v>
      </c>
      <c r="B1012" t="s">
        <v>45</v>
      </c>
      <c r="C1012" s="2">
        <f>HYPERLINK("https://sao.dolgi.msk.ru/account/1404183346/", 1404183346)</f>
        <v>1404183346</v>
      </c>
      <c r="D1012">
        <v>-3609.78</v>
      </c>
    </row>
    <row r="1013" spans="1:4" hidden="1" x14ac:dyDescent="0.25">
      <c r="A1013" t="s">
        <v>415</v>
      </c>
      <c r="B1013" t="s">
        <v>46</v>
      </c>
      <c r="C1013" s="2">
        <f>HYPERLINK("https://sao.dolgi.msk.ru/account/1404181834/", 1404181834)</f>
        <v>1404181834</v>
      </c>
      <c r="D1013">
        <v>-5564.83</v>
      </c>
    </row>
    <row r="1014" spans="1:4" hidden="1" x14ac:dyDescent="0.25">
      <c r="A1014" t="s">
        <v>415</v>
      </c>
      <c r="B1014" t="s">
        <v>47</v>
      </c>
      <c r="C1014" s="2">
        <f>HYPERLINK("https://sao.dolgi.msk.ru/account/1404183768/", 1404183768)</f>
        <v>1404183768</v>
      </c>
      <c r="D1014">
        <v>0</v>
      </c>
    </row>
    <row r="1015" spans="1:4" hidden="1" x14ac:dyDescent="0.25">
      <c r="A1015" t="s">
        <v>415</v>
      </c>
      <c r="B1015" t="s">
        <v>48</v>
      </c>
      <c r="C1015" s="2">
        <f>HYPERLINK("https://sao.dolgi.msk.ru/account/1404182466/", 1404182466)</f>
        <v>1404182466</v>
      </c>
      <c r="D1015">
        <v>-6774.88</v>
      </c>
    </row>
    <row r="1016" spans="1:4" hidden="1" x14ac:dyDescent="0.25">
      <c r="A1016" t="s">
        <v>415</v>
      </c>
      <c r="B1016" t="s">
        <v>49</v>
      </c>
      <c r="C1016" s="2">
        <f>HYPERLINK("https://sao.dolgi.msk.ru/account/1404182693/", 1404182693)</f>
        <v>1404182693</v>
      </c>
      <c r="D1016">
        <v>-2453.81</v>
      </c>
    </row>
    <row r="1017" spans="1:4" hidden="1" x14ac:dyDescent="0.25">
      <c r="A1017" t="s">
        <v>415</v>
      </c>
      <c r="B1017" t="s">
        <v>50</v>
      </c>
      <c r="C1017" s="2">
        <f>HYPERLINK("https://sao.dolgi.msk.ru/account/1404183063/", 1404183063)</f>
        <v>1404183063</v>
      </c>
      <c r="D1017">
        <v>-3332.13</v>
      </c>
    </row>
    <row r="1018" spans="1:4" hidden="1" x14ac:dyDescent="0.25">
      <c r="A1018" t="s">
        <v>415</v>
      </c>
      <c r="B1018" t="s">
        <v>51</v>
      </c>
      <c r="C1018" s="2">
        <f>HYPERLINK("https://sao.dolgi.msk.ru/account/1404181703/", 1404181703)</f>
        <v>1404181703</v>
      </c>
      <c r="D1018">
        <v>-5454.73</v>
      </c>
    </row>
    <row r="1019" spans="1:4" hidden="1" x14ac:dyDescent="0.25">
      <c r="A1019" t="s">
        <v>415</v>
      </c>
      <c r="B1019" t="s">
        <v>52</v>
      </c>
      <c r="C1019" s="2">
        <f>HYPERLINK("https://sao.dolgi.msk.ru/account/1404181607/", 1404181607)</f>
        <v>1404181607</v>
      </c>
      <c r="D1019">
        <v>-116.21</v>
      </c>
    </row>
    <row r="1020" spans="1:4" hidden="1" x14ac:dyDescent="0.25">
      <c r="A1020" t="s">
        <v>415</v>
      </c>
      <c r="B1020" t="s">
        <v>53</v>
      </c>
      <c r="C1020" s="2">
        <f>HYPERLINK("https://sao.dolgi.msk.ru/account/1404182933/", 1404182933)</f>
        <v>1404182933</v>
      </c>
      <c r="D1020">
        <v>-7179.78</v>
      </c>
    </row>
    <row r="1021" spans="1:4" x14ac:dyDescent="0.25">
      <c r="A1021" t="s">
        <v>415</v>
      </c>
      <c r="B1021" t="s">
        <v>54</v>
      </c>
      <c r="C1021" s="2">
        <f>HYPERLINK("https://sao.dolgi.msk.ru/account/1404182458/", 1404182458)</f>
        <v>1404182458</v>
      </c>
      <c r="D1021">
        <v>22240.25</v>
      </c>
    </row>
    <row r="1022" spans="1:4" hidden="1" x14ac:dyDescent="0.25">
      <c r="A1022" t="s">
        <v>415</v>
      </c>
      <c r="B1022" t="s">
        <v>55</v>
      </c>
      <c r="C1022" s="2">
        <f>HYPERLINK("https://sao.dolgi.msk.ru/account/1404182802/", 1404182802)</f>
        <v>1404182802</v>
      </c>
      <c r="D1022">
        <v>0</v>
      </c>
    </row>
    <row r="1023" spans="1:4" hidden="1" x14ac:dyDescent="0.25">
      <c r="A1023" t="s">
        <v>415</v>
      </c>
      <c r="B1023" t="s">
        <v>56</v>
      </c>
      <c r="C1023" s="2">
        <f>HYPERLINK("https://sao.dolgi.msk.ru/account/1404182554/", 1404182554)</f>
        <v>1404182554</v>
      </c>
      <c r="D1023">
        <v>0</v>
      </c>
    </row>
    <row r="1024" spans="1:4" hidden="1" x14ac:dyDescent="0.25">
      <c r="A1024" t="s">
        <v>415</v>
      </c>
      <c r="B1024" t="s">
        <v>57</v>
      </c>
      <c r="C1024" s="2">
        <f>HYPERLINK("https://sao.dolgi.msk.ru/account/1404182925/", 1404182925)</f>
        <v>1404182925</v>
      </c>
      <c r="D1024">
        <v>0</v>
      </c>
    </row>
    <row r="1025" spans="1:4" hidden="1" x14ac:dyDescent="0.25">
      <c r="A1025" t="s">
        <v>415</v>
      </c>
      <c r="B1025" t="s">
        <v>58</v>
      </c>
      <c r="C1025" s="2">
        <f>HYPERLINK("https://sao.dolgi.msk.ru/account/1404183047/", 1404183047)</f>
        <v>1404183047</v>
      </c>
      <c r="D1025">
        <v>-5980.69</v>
      </c>
    </row>
    <row r="1026" spans="1:4" hidden="1" x14ac:dyDescent="0.25">
      <c r="A1026" t="s">
        <v>415</v>
      </c>
      <c r="B1026" t="s">
        <v>59</v>
      </c>
      <c r="C1026" s="2">
        <f>HYPERLINK("https://sao.dolgi.msk.ru/account/1404181498/", 1404181498)</f>
        <v>1404181498</v>
      </c>
      <c r="D1026">
        <v>-7196.63</v>
      </c>
    </row>
    <row r="1027" spans="1:4" x14ac:dyDescent="0.25">
      <c r="A1027" t="s">
        <v>415</v>
      </c>
      <c r="B1027" t="s">
        <v>60</v>
      </c>
      <c r="C1027" s="2">
        <f>HYPERLINK("https://sao.dolgi.msk.ru/account/1404182116/", 1404182116)</f>
        <v>1404182116</v>
      </c>
      <c r="D1027">
        <v>617.11</v>
      </c>
    </row>
    <row r="1028" spans="1:4" hidden="1" x14ac:dyDescent="0.25">
      <c r="A1028" t="s">
        <v>415</v>
      </c>
      <c r="B1028" t="s">
        <v>61</v>
      </c>
      <c r="C1028" s="2">
        <f>HYPERLINK("https://sao.dolgi.msk.ru/account/1404183573/", 1404183573)</f>
        <v>1404183573</v>
      </c>
      <c r="D1028">
        <v>-5128.47</v>
      </c>
    </row>
    <row r="1029" spans="1:4" x14ac:dyDescent="0.25">
      <c r="A1029" t="s">
        <v>415</v>
      </c>
      <c r="B1029" t="s">
        <v>62</v>
      </c>
      <c r="C1029" s="2">
        <f>HYPERLINK("https://sao.dolgi.msk.ru/account/1404183602/", 1404183602)</f>
        <v>1404183602</v>
      </c>
      <c r="D1029">
        <v>11795.44</v>
      </c>
    </row>
    <row r="1030" spans="1:4" x14ac:dyDescent="0.25">
      <c r="A1030" t="s">
        <v>415</v>
      </c>
      <c r="B1030" t="s">
        <v>63</v>
      </c>
      <c r="C1030" s="2">
        <f>HYPERLINK("https://sao.dolgi.msk.ru/account/1404183493/", 1404183493)</f>
        <v>1404183493</v>
      </c>
      <c r="D1030">
        <v>36742.53</v>
      </c>
    </row>
    <row r="1031" spans="1:4" hidden="1" x14ac:dyDescent="0.25">
      <c r="A1031" t="s">
        <v>415</v>
      </c>
      <c r="B1031" t="s">
        <v>64</v>
      </c>
      <c r="C1031" s="2">
        <f>HYPERLINK("https://sao.dolgi.msk.ru/account/1404182183/", 1404182183)</f>
        <v>1404182183</v>
      </c>
      <c r="D1031">
        <v>-4953.46</v>
      </c>
    </row>
    <row r="1032" spans="1:4" x14ac:dyDescent="0.25">
      <c r="A1032" t="s">
        <v>415</v>
      </c>
      <c r="B1032" t="s">
        <v>65</v>
      </c>
      <c r="C1032" s="2">
        <f>HYPERLINK("https://sao.dolgi.msk.ru/account/1404181826/", 1404181826)</f>
        <v>1404181826</v>
      </c>
      <c r="D1032">
        <v>11484.68</v>
      </c>
    </row>
    <row r="1033" spans="1:4" hidden="1" x14ac:dyDescent="0.25">
      <c r="A1033" t="s">
        <v>415</v>
      </c>
      <c r="B1033" t="s">
        <v>66</v>
      </c>
      <c r="C1033" s="2">
        <f>HYPERLINK("https://sao.dolgi.msk.ru/account/1404182327/", 1404182327)</f>
        <v>1404182327</v>
      </c>
      <c r="D1033">
        <v>-5119.05</v>
      </c>
    </row>
    <row r="1034" spans="1:4" hidden="1" x14ac:dyDescent="0.25">
      <c r="A1034" t="s">
        <v>415</v>
      </c>
      <c r="B1034" t="s">
        <v>67</v>
      </c>
      <c r="C1034" s="2">
        <f>HYPERLINK("https://sao.dolgi.msk.ru/account/1404183717/", 1404183717)</f>
        <v>1404183717</v>
      </c>
      <c r="D1034">
        <v>0</v>
      </c>
    </row>
    <row r="1035" spans="1:4" hidden="1" x14ac:dyDescent="0.25">
      <c r="A1035" t="s">
        <v>415</v>
      </c>
      <c r="B1035" t="s">
        <v>68</v>
      </c>
      <c r="C1035" s="2">
        <f>HYPERLINK("https://sao.dolgi.msk.ru/account/1404183485/", 1404183485)</f>
        <v>1404183485</v>
      </c>
      <c r="D1035">
        <v>-4976.1099999999997</v>
      </c>
    </row>
    <row r="1036" spans="1:4" x14ac:dyDescent="0.25">
      <c r="A1036" t="s">
        <v>415</v>
      </c>
      <c r="B1036" t="s">
        <v>69</v>
      </c>
      <c r="C1036" s="2">
        <f>HYPERLINK("https://sao.dolgi.msk.ru/account/1404182597/", 1404182597)</f>
        <v>1404182597</v>
      </c>
      <c r="D1036">
        <v>10772.79</v>
      </c>
    </row>
    <row r="1037" spans="1:4" hidden="1" x14ac:dyDescent="0.25">
      <c r="A1037" t="s">
        <v>415</v>
      </c>
      <c r="B1037" t="s">
        <v>70</v>
      </c>
      <c r="C1037" s="2">
        <f>HYPERLINK("https://sao.dolgi.msk.ru/account/1404182407/", 1404182407)</f>
        <v>1404182407</v>
      </c>
      <c r="D1037">
        <v>0</v>
      </c>
    </row>
    <row r="1038" spans="1:4" hidden="1" x14ac:dyDescent="0.25">
      <c r="A1038" t="s">
        <v>415</v>
      </c>
      <c r="B1038" t="s">
        <v>71</v>
      </c>
      <c r="C1038" s="2">
        <f>HYPERLINK("https://sao.dolgi.msk.ru/account/1404183266/", 1404183266)</f>
        <v>1404183266</v>
      </c>
      <c r="D1038">
        <v>0</v>
      </c>
    </row>
    <row r="1039" spans="1:4" hidden="1" x14ac:dyDescent="0.25">
      <c r="A1039" t="s">
        <v>415</v>
      </c>
      <c r="B1039" t="s">
        <v>72</v>
      </c>
      <c r="C1039" s="2">
        <f>HYPERLINK("https://sao.dolgi.msk.ru/account/1404181463/", 1404181463)</f>
        <v>1404181463</v>
      </c>
      <c r="D1039">
        <v>0</v>
      </c>
    </row>
    <row r="1040" spans="1:4" hidden="1" x14ac:dyDescent="0.25">
      <c r="A1040" t="s">
        <v>415</v>
      </c>
      <c r="B1040" t="s">
        <v>73</v>
      </c>
      <c r="C1040" s="2">
        <f>HYPERLINK("https://sao.dolgi.msk.ru/account/1404182255/", 1404182255)</f>
        <v>1404182255</v>
      </c>
      <c r="D1040">
        <v>0</v>
      </c>
    </row>
    <row r="1041" spans="1:4" x14ac:dyDescent="0.25">
      <c r="A1041" t="s">
        <v>415</v>
      </c>
      <c r="B1041" t="s">
        <v>74</v>
      </c>
      <c r="C1041" s="2">
        <f>HYPERLINK("https://sao.dolgi.msk.ru/account/1404181543/", 1404181543)</f>
        <v>1404181543</v>
      </c>
      <c r="D1041">
        <v>13851.7</v>
      </c>
    </row>
    <row r="1042" spans="1:4" hidden="1" x14ac:dyDescent="0.25">
      <c r="A1042" t="s">
        <v>415</v>
      </c>
      <c r="B1042" t="s">
        <v>75</v>
      </c>
      <c r="C1042" s="2">
        <f>HYPERLINK("https://sao.dolgi.msk.ru/account/1404181818/", 1404181818)</f>
        <v>1404181818</v>
      </c>
      <c r="D1042">
        <v>-2820.66</v>
      </c>
    </row>
    <row r="1043" spans="1:4" hidden="1" x14ac:dyDescent="0.25">
      <c r="A1043" t="s">
        <v>415</v>
      </c>
      <c r="B1043" t="s">
        <v>76</v>
      </c>
      <c r="C1043" s="2">
        <f>HYPERLINK("https://sao.dolgi.msk.ru/account/1404181869/", 1404181869)</f>
        <v>1404181869</v>
      </c>
      <c r="D1043">
        <v>-2656.85</v>
      </c>
    </row>
    <row r="1044" spans="1:4" hidden="1" x14ac:dyDescent="0.25">
      <c r="A1044" t="s">
        <v>415</v>
      </c>
      <c r="B1044" t="s">
        <v>77</v>
      </c>
      <c r="C1044" s="2">
        <f>HYPERLINK("https://sao.dolgi.msk.ru/account/1404182941/", 1404182941)</f>
        <v>1404182941</v>
      </c>
      <c r="D1044">
        <v>0</v>
      </c>
    </row>
    <row r="1045" spans="1:4" hidden="1" x14ac:dyDescent="0.25">
      <c r="A1045" t="s">
        <v>415</v>
      </c>
      <c r="B1045" t="s">
        <v>78</v>
      </c>
      <c r="C1045" s="2">
        <f>HYPERLINK("https://sao.dolgi.msk.ru/account/1404182378/", 1404182378)</f>
        <v>1404182378</v>
      </c>
      <c r="D1045">
        <v>-7031.43</v>
      </c>
    </row>
    <row r="1046" spans="1:4" hidden="1" x14ac:dyDescent="0.25">
      <c r="A1046" t="s">
        <v>415</v>
      </c>
      <c r="B1046" t="s">
        <v>79</v>
      </c>
      <c r="C1046" s="2">
        <f>HYPERLINK("https://sao.dolgi.msk.ru/account/1404183039/", 1404183039)</f>
        <v>1404183039</v>
      </c>
      <c r="D1046">
        <v>0</v>
      </c>
    </row>
    <row r="1047" spans="1:4" hidden="1" x14ac:dyDescent="0.25">
      <c r="A1047" t="s">
        <v>415</v>
      </c>
      <c r="B1047" t="s">
        <v>80</v>
      </c>
      <c r="C1047" s="2">
        <f>HYPERLINK("https://sao.dolgi.msk.ru/account/1404181949/", 1404181949)</f>
        <v>1404181949</v>
      </c>
      <c r="D1047">
        <v>-4385.92</v>
      </c>
    </row>
    <row r="1048" spans="1:4" hidden="1" x14ac:dyDescent="0.25">
      <c r="A1048" t="s">
        <v>415</v>
      </c>
      <c r="B1048" t="s">
        <v>81</v>
      </c>
      <c r="C1048" s="2">
        <f>HYPERLINK("https://sao.dolgi.msk.ru/account/1404183784/", 1404183784)</f>
        <v>1404183784</v>
      </c>
      <c r="D1048">
        <v>-2440.67</v>
      </c>
    </row>
    <row r="1049" spans="1:4" hidden="1" x14ac:dyDescent="0.25">
      <c r="A1049" t="s">
        <v>415</v>
      </c>
      <c r="B1049" t="s">
        <v>82</v>
      </c>
      <c r="C1049" s="2">
        <f>HYPERLINK("https://sao.dolgi.msk.ru/account/1404182343/", 1404182343)</f>
        <v>1404182343</v>
      </c>
      <c r="D1049">
        <v>0</v>
      </c>
    </row>
    <row r="1050" spans="1:4" x14ac:dyDescent="0.25">
      <c r="A1050" t="s">
        <v>415</v>
      </c>
      <c r="B1050" t="s">
        <v>83</v>
      </c>
      <c r="C1050" s="2">
        <f>HYPERLINK("https://sao.dolgi.msk.ru/account/1404183565/", 1404183565)</f>
        <v>1404183565</v>
      </c>
      <c r="D1050">
        <v>1046.93</v>
      </c>
    </row>
    <row r="1051" spans="1:4" hidden="1" x14ac:dyDescent="0.25">
      <c r="A1051" t="s">
        <v>415</v>
      </c>
      <c r="B1051" t="s">
        <v>84</v>
      </c>
      <c r="C1051" s="2">
        <f>HYPERLINK("https://sao.dolgi.msk.ru/account/1404181914/", 1404181914)</f>
        <v>1404181914</v>
      </c>
      <c r="D1051">
        <v>-6060.13</v>
      </c>
    </row>
    <row r="1052" spans="1:4" hidden="1" x14ac:dyDescent="0.25">
      <c r="A1052" t="s">
        <v>415</v>
      </c>
      <c r="B1052" t="s">
        <v>85</v>
      </c>
      <c r="C1052" s="2">
        <f>HYPERLINK("https://sao.dolgi.msk.ru/account/1404182749/", 1404182749)</f>
        <v>1404182749</v>
      </c>
      <c r="D1052">
        <v>-5907.28</v>
      </c>
    </row>
    <row r="1053" spans="1:4" hidden="1" x14ac:dyDescent="0.25">
      <c r="A1053" t="s">
        <v>415</v>
      </c>
      <c r="B1053" t="s">
        <v>86</v>
      </c>
      <c r="C1053" s="2">
        <f>HYPERLINK("https://sao.dolgi.msk.ru/account/1404181746/", 1404181746)</f>
        <v>1404181746</v>
      </c>
      <c r="D1053">
        <v>-4107.71</v>
      </c>
    </row>
    <row r="1054" spans="1:4" hidden="1" x14ac:dyDescent="0.25">
      <c r="A1054" t="s">
        <v>415</v>
      </c>
      <c r="B1054" t="s">
        <v>87</v>
      </c>
      <c r="C1054" s="2">
        <f>HYPERLINK("https://sao.dolgi.msk.ru/account/1404183514/", 1404183514)</f>
        <v>1404183514</v>
      </c>
      <c r="D1054">
        <v>-8427.75</v>
      </c>
    </row>
    <row r="1055" spans="1:4" hidden="1" x14ac:dyDescent="0.25">
      <c r="A1055" t="s">
        <v>415</v>
      </c>
      <c r="B1055" t="s">
        <v>88</v>
      </c>
      <c r="C1055" s="2">
        <f>HYPERLINK("https://sao.dolgi.msk.ru/account/1404181578/", 1404181578)</f>
        <v>1404181578</v>
      </c>
      <c r="D1055">
        <v>-11886.05</v>
      </c>
    </row>
    <row r="1056" spans="1:4" hidden="1" x14ac:dyDescent="0.25">
      <c r="A1056" t="s">
        <v>415</v>
      </c>
      <c r="B1056" t="s">
        <v>89</v>
      </c>
      <c r="C1056" s="2">
        <f>HYPERLINK("https://sao.dolgi.msk.ru/account/1404181885/", 1404181885)</f>
        <v>1404181885</v>
      </c>
      <c r="D1056">
        <v>-4580.45</v>
      </c>
    </row>
    <row r="1057" spans="1:4" hidden="1" x14ac:dyDescent="0.25">
      <c r="A1057" t="s">
        <v>415</v>
      </c>
      <c r="B1057" t="s">
        <v>90</v>
      </c>
      <c r="C1057" s="2">
        <f>HYPERLINK("https://sao.dolgi.msk.ru/account/1404182976/", 1404182976)</f>
        <v>1404182976</v>
      </c>
      <c r="D1057">
        <v>-3622.67</v>
      </c>
    </row>
    <row r="1058" spans="1:4" hidden="1" x14ac:dyDescent="0.25">
      <c r="A1058" t="s">
        <v>415</v>
      </c>
      <c r="B1058" t="s">
        <v>91</v>
      </c>
      <c r="C1058" s="2">
        <f>HYPERLINK("https://sao.dolgi.msk.ru/account/1404181519/", 1404181519)</f>
        <v>1404181519</v>
      </c>
      <c r="D1058">
        <v>0</v>
      </c>
    </row>
    <row r="1059" spans="1:4" hidden="1" x14ac:dyDescent="0.25">
      <c r="A1059" t="s">
        <v>415</v>
      </c>
      <c r="B1059" t="s">
        <v>92</v>
      </c>
      <c r="C1059" s="2">
        <f>HYPERLINK("https://sao.dolgi.msk.ru/account/1404183645/", 1404183645)</f>
        <v>1404183645</v>
      </c>
      <c r="D1059">
        <v>-6622.11</v>
      </c>
    </row>
    <row r="1060" spans="1:4" hidden="1" x14ac:dyDescent="0.25">
      <c r="A1060" t="s">
        <v>415</v>
      </c>
      <c r="B1060" t="s">
        <v>93</v>
      </c>
      <c r="C1060" s="2">
        <f>HYPERLINK("https://sao.dolgi.msk.ru/account/1404181594/", 1404181594)</f>
        <v>1404181594</v>
      </c>
      <c r="D1060">
        <v>-6259.21</v>
      </c>
    </row>
    <row r="1061" spans="1:4" hidden="1" x14ac:dyDescent="0.25">
      <c r="A1061" t="s">
        <v>415</v>
      </c>
      <c r="B1061" t="s">
        <v>94</v>
      </c>
      <c r="C1061" s="2">
        <f>HYPERLINK("https://sao.dolgi.msk.ru/account/1404183848/", 1404183848)</f>
        <v>1404183848</v>
      </c>
      <c r="D1061">
        <v>0</v>
      </c>
    </row>
    <row r="1062" spans="1:4" hidden="1" x14ac:dyDescent="0.25">
      <c r="A1062" t="s">
        <v>415</v>
      </c>
      <c r="B1062" t="s">
        <v>95</v>
      </c>
      <c r="C1062" s="2">
        <f>HYPERLINK("https://sao.dolgi.msk.ru/account/1404182757/", 1404182757)</f>
        <v>1404182757</v>
      </c>
      <c r="D1062">
        <v>0</v>
      </c>
    </row>
    <row r="1063" spans="1:4" hidden="1" x14ac:dyDescent="0.25">
      <c r="A1063" t="s">
        <v>415</v>
      </c>
      <c r="B1063" t="s">
        <v>96</v>
      </c>
      <c r="C1063" s="2">
        <f>HYPERLINK("https://sao.dolgi.msk.ru/account/1404183186/", 1404183186)</f>
        <v>1404183186</v>
      </c>
      <c r="D1063">
        <v>0</v>
      </c>
    </row>
    <row r="1064" spans="1:4" hidden="1" x14ac:dyDescent="0.25">
      <c r="A1064" t="s">
        <v>415</v>
      </c>
      <c r="B1064" t="s">
        <v>97</v>
      </c>
      <c r="C1064" s="2">
        <f>HYPERLINK("https://sao.dolgi.msk.ru/account/1404182044/", 1404182044)</f>
        <v>1404182044</v>
      </c>
      <c r="D1064">
        <v>0</v>
      </c>
    </row>
    <row r="1065" spans="1:4" hidden="1" x14ac:dyDescent="0.25">
      <c r="A1065" t="s">
        <v>415</v>
      </c>
      <c r="B1065" t="s">
        <v>98</v>
      </c>
      <c r="C1065" s="2">
        <f>HYPERLINK("https://sao.dolgi.msk.ru/account/1404182618/", 1404182618)</f>
        <v>1404182618</v>
      </c>
      <c r="D1065">
        <v>-6555.22</v>
      </c>
    </row>
    <row r="1066" spans="1:4" hidden="1" x14ac:dyDescent="0.25">
      <c r="A1066" t="s">
        <v>415</v>
      </c>
      <c r="B1066" t="s">
        <v>99</v>
      </c>
      <c r="C1066" s="2">
        <f>HYPERLINK("https://sao.dolgi.msk.ru/account/1404182511/", 1404182511)</f>
        <v>1404182511</v>
      </c>
      <c r="D1066">
        <v>0</v>
      </c>
    </row>
    <row r="1067" spans="1:4" hidden="1" x14ac:dyDescent="0.25">
      <c r="A1067" t="s">
        <v>415</v>
      </c>
      <c r="B1067" t="s">
        <v>100</v>
      </c>
      <c r="C1067" s="2">
        <f>HYPERLINK("https://sao.dolgi.msk.ru/account/1404183581/", 1404183581)</f>
        <v>1404183581</v>
      </c>
      <c r="D1067">
        <v>0</v>
      </c>
    </row>
    <row r="1068" spans="1:4" hidden="1" x14ac:dyDescent="0.25">
      <c r="A1068" t="s">
        <v>415</v>
      </c>
      <c r="B1068" t="s">
        <v>101</v>
      </c>
      <c r="C1068" s="2">
        <f>HYPERLINK("https://sao.dolgi.msk.ru/account/1404183119/", 1404183119)</f>
        <v>1404183119</v>
      </c>
      <c r="D1068">
        <v>-13759.78</v>
      </c>
    </row>
    <row r="1069" spans="1:4" x14ac:dyDescent="0.25">
      <c r="A1069" t="s">
        <v>415</v>
      </c>
      <c r="B1069" t="s">
        <v>102</v>
      </c>
      <c r="C1069" s="2">
        <f>HYPERLINK("https://sao.dolgi.msk.ru/account/1404183223/", 1404183223)</f>
        <v>1404183223</v>
      </c>
      <c r="D1069">
        <v>7487.18</v>
      </c>
    </row>
    <row r="1070" spans="1:4" hidden="1" x14ac:dyDescent="0.25">
      <c r="A1070" t="s">
        <v>415</v>
      </c>
      <c r="B1070" t="s">
        <v>103</v>
      </c>
      <c r="C1070" s="2">
        <f>HYPERLINK("https://sao.dolgi.msk.ru/account/1404181455/", 1404181455)</f>
        <v>1404181455</v>
      </c>
      <c r="D1070">
        <v>-6010.51</v>
      </c>
    </row>
    <row r="1071" spans="1:4" hidden="1" x14ac:dyDescent="0.25">
      <c r="A1071" t="s">
        <v>415</v>
      </c>
      <c r="B1071" t="s">
        <v>104</v>
      </c>
      <c r="C1071" s="2">
        <f>HYPERLINK("https://sao.dolgi.msk.ru/account/1404183733/", 1404183733)</f>
        <v>1404183733</v>
      </c>
      <c r="D1071">
        <v>0</v>
      </c>
    </row>
    <row r="1072" spans="1:4" hidden="1" x14ac:dyDescent="0.25">
      <c r="A1072" t="s">
        <v>415</v>
      </c>
      <c r="B1072" t="s">
        <v>105</v>
      </c>
      <c r="C1072" s="2">
        <f>HYPERLINK("https://sao.dolgi.msk.ru/account/1404182132/", 1404182132)</f>
        <v>1404182132</v>
      </c>
      <c r="D1072">
        <v>-3418.84</v>
      </c>
    </row>
    <row r="1073" spans="1:4" hidden="1" x14ac:dyDescent="0.25">
      <c r="A1073" t="s">
        <v>415</v>
      </c>
      <c r="B1073" t="s">
        <v>106</v>
      </c>
      <c r="C1073" s="2">
        <f>HYPERLINK("https://sao.dolgi.msk.ru/account/1404183629/", 1404183629)</f>
        <v>1404183629</v>
      </c>
      <c r="D1073">
        <v>-5138.41</v>
      </c>
    </row>
    <row r="1074" spans="1:4" hidden="1" x14ac:dyDescent="0.25">
      <c r="A1074" t="s">
        <v>415</v>
      </c>
      <c r="B1074" t="s">
        <v>107</v>
      </c>
      <c r="C1074" s="2">
        <f>HYPERLINK("https://sao.dolgi.msk.ru/account/1404182706/", 1404182706)</f>
        <v>1404182706</v>
      </c>
      <c r="D1074">
        <v>-3466.67</v>
      </c>
    </row>
    <row r="1075" spans="1:4" hidden="1" x14ac:dyDescent="0.25">
      <c r="A1075" t="s">
        <v>415</v>
      </c>
      <c r="B1075" t="s">
        <v>108</v>
      </c>
      <c r="C1075" s="2">
        <f>HYPERLINK("https://sao.dolgi.msk.ru/account/1404183637/", 1404183637)</f>
        <v>1404183637</v>
      </c>
      <c r="D1075">
        <v>-6018.3</v>
      </c>
    </row>
    <row r="1076" spans="1:4" hidden="1" x14ac:dyDescent="0.25">
      <c r="A1076" t="s">
        <v>415</v>
      </c>
      <c r="B1076" t="s">
        <v>109</v>
      </c>
      <c r="C1076" s="2">
        <f>HYPERLINK("https://sao.dolgi.msk.ru/account/1404182204/", 1404182204)</f>
        <v>1404182204</v>
      </c>
      <c r="D1076">
        <v>0</v>
      </c>
    </row>
    <row r="1077" spans="1:4" hidden="1" x14ac:dyDescent="0.25">
      <c r="A1077" t="s">
        <v>415</v>
      </c>
      <c r="B1077" t="s">
        <v>110</v>
      </c>
      <c r="C1077" s="2">
        <f>HYPERLINK("https://sao.dolgi.msk.ru/account/1404182861/", 1404182861)</f>
        <v>1404182861</v>
      </c>
      <c r="D1077">
        <v>0</v>
      </c>
    </row>
    <row r="1078" spans="1:4" hidden="1" x14ac:dyDescent="0.25">
      <c r="A1078" t="s">
        <v>415</v>
      </c>
      <c r="B1078" t="s">
        <v>111</v>
      </c>
      <c r="C1078" s="2">
        <f>HYPERLINK("https://sao.dolgi.msk.ru/account/1404182642/", 1404182642)</f>
        <v>1404182642</v>
      </c>
      <c r="D1078">
        <v>-5990.65</v>
      </c>
    </row>
    <row r="1079" spans="1:4" hidden="1" x14ac:dyDescent="0.25">
      <c r="A1079" t="s">
        <v>415</v>
      </c>
      <c r="B1079" t="s">
        <v>112</v>
      </c>
      <c r="C1079" s="2">
        <f>HYPERLINK("https://sao.dolgi.msk.ru/account/1404183688/", 1404183688)</f>
        <v>1404183688</v>
      </c>
      <c r="D1079">
        <v>0</v>
      </c>
    </row>
    <row r="1080" spans="1:4" hidden="1" x14ac:dyDescent="0.25">
      <c r="A1080" t="s">
        <v>415</v>
      </c>
      <c r="B1080" t="s">
        <v>113</v>
      </c>
      <c r="C1080" s="2">
        <f>HYPERLINK("https://sao.dolgi.msk.ru/account/1404184015/", 1404184015)</f>
        <v>1404184015</v>
      </c>
      <c r="D1080">
        <v>0</v>
      </c>
    </row>
    <row r="1081" spans="1:4" hidden="1" x14ac:dyDescent="0.25">
      <c r="A1081" t="s">
        <v>415</v>
      </c>
      <c r="B1081" t="s">
        <v>114</v>
      </c>
      <c r="C1081" s="2">
        <f>HYPERLINK("https://sao.dolgi.msk.ru/account/1404181981/", 1404181981)</f>
        <v>1404181981</v>
      </c>
      <c r="D1081">
        <v>-8024.06</v>
      </c>
    </row>
    <row r="1082" spans="1:4" hidden="1" x14ac:dyDescent="0.25">
      <c r="A1082" t="s">
        <v>415</v>
      </c>
      <c r="B1082" t="s">
        <v>115</v>
      </c>
      <c r="C1082" s="2">
        <f>HYPERLINK("https://sao.dolgi.msk.ru/account/1404181631/", 1404181631)</f>
        <v>1404181631</v>
      </c>
      <c r="D1082">
        <v>-544.1</v>
      </c>
    </row>
    <row r="1083" spans="1:4" hidden="1" x14ac:dyDescent="0.25">
      <c r="A1083" t="s">
        <v>415</v>
      </c>
      <c r="B1083" t="s">
        <v>116</v>
      </c>
      <c r="C1083" s="2">
        <f>HYPERLINK("https://sao.dolgi.msk.ru/account/1404183338/", 1404183338)</f>
        <v>1404183338</v>
      </c>
      <c r="D1083">
        <v>-4464.8900000000003</v>
      </c>
    </row>
    <row r="1084" spans="1:4" hidden="1" x14ac:dyDescent="0.25">
      <c r="A1084" t="s">
        <v>415</v>
      </c>
      <c r="B1084" t="s">
        <v>117</v>
      </c>
      <c r="C1084" s="2">
        <f>HYPERLINK("https://sao.dolgi.msk.ru/account/1404181535/", 1404181535)</f>
        <v>1404181535</v>
      </c>
      <c r="D1084">
        <v>0</v>
      </c>
    </row>
    <row r="1085" spans="1:4" hidden="1" x14ac:dyDescent="0.25">
      <c r="A1085" t="s">
        <v>415</v>
      </c>
      <c r="B1085" t="s">
        <v>118</v>
      </c>
      <c r="C1085" s="2">
        <f>HYPERLINK("https://sao.dolgi.msk.ru/account/1404183792/", 1404183792)</f>
        <v>1404183792</v>
      </c>
      <c r="D1085">
        <v>0</v>
      </c>
    </row>
    <row r="1086" spans="1:4" hidden="1" x14ac:dyDescent="0.25">
      <c r="A1086" t="s">
        <v>415</v>
      </c>
      <c r="B1086" t="s">
        <v>119</v>
      </c>
      <c r="C1086" s="2">
        <f>HYPERLINK("https://sao.dolgi.msk.ru/account/1404183012/", 1404183012)</f>
        <v>1404183012</v>
      </c>
      <c r="D1086">
        <v>-4320.6499999999996</v>
      </c>
    </row>
    <row r="1087" spans="1:4" x14ac:dyDescent="0.25">
      <c r="A1087" t="s">
        <v>415</v>
      </c>
      <c r="B1087" t="s">
        <v>120</v>
      </c>
      <c r="C1087" s="2">
        <f>HYPERLINK("https://sao.dolgi.msk.ru/account/1404182247/", 1404182247)</f>
        <v>1404182247</v>
      </c>
      <c r="D1087">
        <v>3639.56</v>
      </c>
    </row>
    <row r="1088" spans="1:4" hidden="1" x14ac:dyDescent="0.25">
      <c r="A1088" t="s">
        <v>415</v>
      </c>
      <c r="B1088" t="s">
        <v>121</v>
      </c>
      <c r="C1088" s="2">
        <f>HYPERLINK("https://sao.dolgi.msk.ru/account/1404182175/", 1404182175)</f>
        <v>1404182175</v>
      </c>
      <c r="D1088">
        <v>-3739.5</v>
      </c>
    </row>
    <row r="1089" spans="1:4" hidden="1" x14ac:dyDescent="0.25">
      <c r="A1089" t="s">
        <v>415</v>
      </c>
      <c r="B1089" t="s">
        <v>122</v>
      </c>
      <c r="C1089" s="2">
        <f>HYPERLINK("https://sao.dolgi.msk.ru/account/1404182191/", 1404182191)</f>
        <v>1404182191</v>
      </c>
      <c r="D1089">
        <v>-8243.86</v>
      </c>
    </row>
    <row r="1090" spans="1:4" x14ac:dyDescent="0.25">
      <c r="A1090" t="s">
        <v>415</v>
      </c>
      <c r="B1090" t="s">
        <v>123</v>
      </c>
      <c r="C1090" s="2">
        <f>HYPERLINK("https://sao.dolgi.msk.ru/account/1404183995/", 1404183995)</f>
        <v>1404183995</v>
      </c>
      <c r="D1090">
        <v>17866.72</v>
      </c>
    </row>
    <row r="1091" spans="1:4" x14ac:dyDescent="0.25">
      <c r="A1091" t="s">
        <v>415</v>
      </c>
      <c r="B1091" t="s">
        <v>124</v>
      </c>
      <c r="C1091" s="2">
        <f>HYPERLINK("https://sao.dolgi.msk.ru/account/1404181682/", 1404181682)</f>
        <v>1404181682</v>
      </c>
      <c r="D1091">
        <v>20337.97</v>
      </c>
    </row>
    <row r="1092" spans="1:4" hidden="1" x14ac:dyDescent="0.25">
      <c r="A1092" t="s">
        <v>415</v>
      </c>
      <c r="B1092" t="s">
        <v>125</v>
      </c>
      <c r="C1092" s="2">
        <f>HYPERLINK("https://sao.dolgi.msk.ru/account/1404183821/", 1404183821)</f>
        <v>1404183821</v>
      </c>
      <c r="D1092">
        <v>-4511.34</v>
      </c>
    </row>
    <row r="1093" spans="1:4" x14ac:dyDescent="0.25">
      <c r="A1093" t="s">
        <v>415</v>
      </c>
      <c r="B1093" t="s">
        <v>126</v>
      </c>
      <c r="C1093" s="2">
        <f>HYPERLINK("https://sao.dolgi.msk.ru/account/1404183282/", 1404183282)</f>
        <v>1404183282</v>
      </c>
      <c r="D1093">
        <v>5144.66</v>
      </c>
    </row>
    <row r="1094" spans="1:4" hidden="1" x14ac:dyDescent="0.25">
      <c r="A1094" t="s">
        <v>415</v>
      </c>
      <c r="B1094" t="s">
        <v>127</v>
      </c>
      <c r="C1094" s="2">
        <f>HYPERLINK("https://sao.dolgi.msk.ru/account/1404182562/", 1404182562)</f>
        <v>1404182562</v>
      </c>
      <c r="D1094">
        <v>0</v>
      </c>
    </row>
    <row r="1095" spans="1:4" hidden="1" x14ac:dyDescent="0.25">
      <c r="A1095" t="s">
        <v>415</v>
      </c>
      <c r="B1095" t="s">
        <v>128</v>
      </c>
      <c r="C1095" s="2">
        <f>HYPERLINK("https://sao.dolgi.msk.ru/account/1404182319/", 1404182319)</f>
        <v>1404182319</v>
      </c>
      <c r="D1095">
        <v>0</v>
      </c>
    </row>
    <row r="1096" spans="1:4" hidden="1" x14ac:dyDescent="0.25">
      <c r="A1096" t="s">
        <v>415</v>
      </c>
      <c r="B1096" t="s">
        <v>129</v>
      </c>
      <c r="C1096" s="2">
        <f>HYPERLINK("https://sao.dolgi.msk.ru/account/1404183901/", 1404183901)</f>
        <v>1404183901</v>
      </c>
      <c r="D1096">
        <v>-8420.75</v>
      </c>
    </row>
    <row r="1097" spans="1:4" hidden="1" x14ac:dyDescent="0.25">
      <c r="A1097" t="s">
        <v>415</v>
      </c>
      <c r="B1097" t="s">
        <v>130</v>
      </c>
      <c r="C1097" s="2">
        <f>HYPERLINK("https://sao.dolgi.msk.ru/account/1404181527/", 1404181527)</f>
        <v>1404181527</v>
      </c>
      <c r="D1097">
        <v>-2192.67</v>
      </c>
    </row>
    <row r="1098" spans="1:4" hidden="1" x14ac:dyDescent="0.25">
      <c r="A1098" t="s">
        <v>415</v>
      </c>
      <c r="B1098" t="s">
        <v>131</v>
      </c>
      <c r="C1098" s="2">
        <f>HYPERLINK("https://sao.dolgi.msk.ru/account/1404182386/", 1404182386)</f>
        <v>1404182386</v>
      </c>
      <c r="D1098">
        <v>-6684.28</v>
      </c>
    </row>
    <row r="1099" spans="1:4" hidden="1" x14ac:dyDescent="0.25">
      <c r="A1099" t="s">
        <v>415</v>
      </c>
      <c r="B1099" t="s">
        <v>132</v>
      </c>
      <c r="C1099" s="2">
        <f>HYPERLINK("https://sao.dolgi.msk.ru/account/1404182984/", 1404182984)</f>
        <v>1404182984</v>
      </c>
      <c r="D1099">
        <v>0</v>
      </c>
    </row>
    <row r="1100" spans="1:4" hidden="1" x14ac:dyDescent="0.25">
      <c r="A1100" t="s">
        <v>415</v>
      </c>
      <c r="B1100" t="s">
        <v>133</v>
      </c>
      <c r="C1100" s="2">
        <f>HYPERLINK("https://sao.dolgi.msk.ru/account/1404182888/", 1404182888)</f>
        <v>1404182888</v>
      </c>
      <c r="D1100">
        <v>0</v>
      </c>
    </row>
    <row r="1101" spans="1:4" hidden="1" x14ac:dyDescent="0.25">
      <c r="A1101" t="s">
        <v>415</v>
      </c>
      <c r="B1101" t="s">
        <v>134</v>
      </c>
      <c r="C1101" s="2">
        <f>HYPERLINK("https://sao.dolgi.msk.ru/account/1404181877/", 1404181877)</f>
        <v>1404181877</v>
      </c>
      <c r="D1101">
        <v>-4022.9</v>
      </c>
    </row>
    <row r="1102" spans="1:4" hidden="1" x14ac:dyDescent="0.25">
      <c r="A1102" t="s">
        <v>415</v>
      </c>
      <c r="B1102" t="s">
        <v>135</v>
      </c>
      <c r="C1102" s="2">
        <f>HYPERLINK("https://sao.dolgi.msk.ru/account/1404183303/", 1404183303)</f>
        <v>1404183303</v>
      </c>
      <c r="D1102">
        <v>-4415.5200000000004</v>
      </c>
    </row>
    <row r="1103" spans="1:4" hidden="1" x14ac:dyDescent="0.25">
      <c r="A1103" t="s">
        <v>415</v>
      </c>
      <c r="B1103" t="s">
        <v>136</v>
      </c>
      <c r="C1103" s="2">
        <f>HYPERLINK("https://sao.dolgi.msk.ru/account/1404181957/", 1404181957)</f>
        <v>1404181957</v>
      </c>
      <c r="D1103">
        <v>-5278.69</v>
      </c>
    </row>
    <row r="1104" spans="1:4" x14ac:dyDescent="0.25">
      <c r="A1104" t="s">
        <v>415</v>
      </c>
      <c r="B1104" t="s">
        <v>137</v>
      </c>
      <c r="C1104" s="2">
        <f>HYPERLINK("https://sao.dolgi.msk.ru/account/1404182079/", 1404182079)</f>
        <v>1404182079</v>
      </c>
      <c r="D1104">
        <v>13388.79</v>
      </c>
    </row>
    <row r="1105" spans="1:4" x14ac:dyDescent="0.25">
      <c r="A1105" t="s">
        <v>415</v>
      </c>
      <c r="B1105" t="s">
        <v>138</v>
      </c>
      <c r="C1105" s="2">
        <f>HYPERLINK("https://sao.dolgi.msk.ru/account/1404182124/", 1404182124)</f>
        <v>1404182124</v>
      </c>
      <c r="D1105">
        <v>23196.01</v>
      </c>
    </row>
    <row r="1106" spans="1:4" hidden="1" x14ac:dyDescent="0.25">
      <c r="A1106" t="s">
        <v>415</v>
      </c>
      <c r="B1106" t="s">
        <v>139</v>
      </c>
      <c r="C1106" s="2">
        <f>HYPERLINK("https://sao.dolgi.msk.ru/account/1404181674/", 1404181674)</f>
        <v>1404181674</v>
      </c>
      <c r="D1106">
        <v>-14470.93</v>
      </c>
    </row>
    <row r="1107" spans="1:4" hidden="1" x14ac:dyDescent="0.25">
      <c r="A1107" t="s">
        <v>415</v>
      </c>
      <c r="B1107" t="s">
        <v>140</v>
      </c>
      <c r="C1107" s="2">
        <f>HYPERLINK("https://sao.dolgi.msk.ru/account/1404183805/", 1404183805)</f>
        <v>1404183805</v>
      </c>
      <c r="D1107">
        <v>-6878.32</v>
      </c>
    </row>
    <row r="1108" spans="1:4" hidden="1" x14ac:dyDescent="0.25">
      <c r="A1108" t="s">
        <v>415</v>
      </c>
      <c r="B1108" t="s">
        <v>141</v>
      </c>
      <c r="C1108" s="2">
        <f>HYPERLINK("https://sao.dolgi.msk.ru/account/1404182335/", 1404182335)</f>
        <v>1404182335</v>
      </c>
      <c r="D1108">
        <v>0</v>
      </c>
    </row>
    <row r="1109" spans="1:4" hidden="1" x14ac:dyDescent="0.25">
      <c r="A1109" t="s">
        <v>415</v>
      </c>
      <c r="B1109" t="s">
        <v>142</v>
      </c>
      <c r="C1109" s="2">
        <f>HYPERLINK("https://sao.dolgi.msk.ru/account/1404183207/", 1404183207)</f>
        <v>1404183207</v>
      </c>
      <c r="D1109">
        <v>-6126.23</v>
      </c>
    </row>
    <row r="1110" spans="1:4" hidden="1" x14ac:dyDescent="0.25">
      <c r="A1110" t="s">
        <v>415</v>
      </c>
      <c r="B1110" t="s">
        <v>143</v>
      </c>
      <c r="C1110" s="2">
        <f>HYPERLINK("https://sao.dolgi.msk.ru/account/1404183426/", 1404183426)</f>
        <v>1404183426</v>
      </c>
      <c r="D1110">
        <v>0</v>
      </c>
    </row>
    <row r="1111" spans="1:4" hidden="1" x14ac:dyDescent="0.25">
      <c r="A1111" t="s">
        <v>415</v>
      </c>
      <c r="B1111" t="s">
        <v>144</v>
      </c>
      <c r="C1111" s="2">
        <f>HYPERLINK("https://sao.dolgi.msk.ru/account/1404182589/", 1404182589)</f>
        <v>1404182589</v>
      </c>
      <c r="D1111">
        <v>-2767.2</v>
      </c>
    </row>
    <row r="1112" spans="1:4" hidden="1" x14ac:dyDescent="0.25">
      <c r="A1112" t="s">
        <v>415</v>
      </c>
      <c r="B1112" t="s">
        <v>145</v>
      </c>
      <c r="C1112" s="2">
        <f>HYPERLINK("https://sao.dolgi.msk.ru/account/1404183661/", 1404183661)</f>
        <v>1404183661</v>
      </c>
      <c r="D1112">
        <v>0</v>
      </c>
    </row>
    <row r="1113" spans="1:4" hidden="1" x14ac:dyDescent="0.25">
      <c r="A1113" t="s">
        <v>415</v>
      </c>
      <c r="B1113" t="s">
        <v>146</v>
      </c>
      <c r="C1113" s="2">
        <f>HYPERLINK("https://sao.dolgi.msk.ru/account/1404183311/", 1404183311)</f>
        <v>1404183311</v>
      </c>
      <c r="D1113">
        <v>-4006.88</v>
      </c>
    </row>
    <row r="1114" spans="1:4" hidden="1" x14ac:dyDescent="0.25">
      <c r="A1114" t="s">
        <v>415</v>
      </c>
      <c r="B1114" t="s">
        <v>147</v>
      </c>
      <c r="C1114" s="2">
        <f>HYPERLINK("https://sao.dolgi.msk.ru/account/1404182108/", 1404182108)</f>
        <v>1404182108</v>
      </c>
      <c r="D1114">
        <v>-6790.08</v>
      </c>
    </row>
    <row r="1115" spans="1:4" hidden="1" x14ac:dyDescent="0.25">
      <c r="A1115" t="s">
        <v>415</v>
      </c>
      <c r="B1115" t="s">
        <v>148</v>
      </c>
      <c r="C1115" s="2">
        <f>HYPERLINK("https://sao.dolgi.msk.ru/account/1404182765/", 1404182765)</f>
        <v>1404182765</v>
      </c>
      <c r="D1115">
        <v>-11370.75</v>
      </c>
    </row>
    <row r="1116" spans="1:4" hidden="1" x14ac:dyDescent="0.25">
      <c r="A1116" t="s">
        <v>415</v>
      </c>
      <c r="B1116" t="s">
        <v>149</v>
      </c>
      <c r="C1116" s="2">
        <f>HYPERLINK("https://sao.dolgi.msk.ru/account/1404182829/", 1404182829)</f>
        <v>1404182829</v>
      </c>
      <c r="D1116">
        <v>-4141.1000000000004</v>
      </c>
    </row>
    <row r="1117" spans="1:4" hidden="1" x14ac:dyDescent="0.25">
      <c r="A1117" t="s">
        <v>415</v>
      </c>
      <c r="B1117" t="s">
        <v>150</v>
      </c>
      <c r="C1117" s="2">
        <f>HYPERLINK("https://sao.dolgi.msk.ru/account/1404183936/", 1404183936)</f>
        <v>1404183936</v>
      </c>
      <c r="D1117">
        <v>0</v>
      </c>
    </row>
    <row r="1118" spans="1:4" hidden="1" x14ac:dyDescent="0.25">
      <c r="A1118" t="s">
        <v>415</v>
      </c>
      <c r="B1118" t="s">
        <v>151</v>
      </c>
      <c r="C1118" s="2">
        <f>HYPERLINK("https://sao.dolgi.msk.ru/account/1404182271/", 1404182271)</f>
        <v>1404182271</v>
      </c>
      <c r="D1118">
        <v>0</v>
      </c>
    </row>
    <row r="1119" spans="1:4" hidden="1" x14ac:dyDescent="0.25">
      <c r="A1119" t="s">
        <v>415</v>
      </c>
      <c r="B1119" t="s">
        <v>152</v>
      </c>
      <c r="C1119" s="2">
        <f>HYPERLINK("https://sao.dolgi.msk.ru/account/1404183928/", 1404183928)</f>
        <v>1404183928</v>
      </c>
      <c r="D1119">
        <v>-7549.18</v>
      </c>
    </row>
    <row r="1120" spans="1:4" hidden="1" x14ac:dyDescent="0.25">
      <c r="A1120" t="s">
        <v>415</v>
      </c>
      <c r="B1120" t="s">
        <v>153</v>
      </c>
      <c r="C1120" s="2">
        <f>HYPERLINK("https://sao.dolgi.msk.ru/account/1404182052/", 1404182052)</f>
        <v>1404182052</v>
      </c>
      <c r="D1120">
        <v>-7076.09</v>
      </c>
    </row>
    <row r="1121" spans="1:4" hidden="1" x14ac:dyDescent="0.25">
      <c r="A1121" t="s">
        <v>415</v>
      </c>
      <c r="B1121" t="s">
        <v>154</v>
      </c>
      <c r="C1121" s="2">
        <f>HYPERLINK("https://sao.dolgi.msk.ru/account/1404183215/", 1404183215)</f>
        <v>1404183215</v>
      </c>
      <c r="D1121">
        <v>-4380.91</v>
      </c>
    </row>
    <row r="1122" spans="1:4" hidden="1" x14ac:dyDescent="0.25">
      <c r="A1122" t="s">
        <v>415</v>
      </c>
      <c r="B1122" t="s">
        <v>155</v>
      </c>
      <c r="C1122" s="2">
        <f>HYPERLINK("https://sao.dolgi.msk.ru/account/1404182431/", 1404182431)</f>
        <v>1404182431</v>
      </c>
      <c r="D1122">
        <v>-3995.97</v>
      </c>
    </row>
    <row r="1123" spans="1:4" hidden="1" x14ac:dyDescent="0.25">
      <c r="A1123" t="s">
        <v>415</v>
      </c>
      <c r="B1123" t="s">
        <v>156</v>
      </c>
      <c r="C1123" s="2">
        <f>HYPERLINK("https://sao.dolgi.msk.ru/account/1404181658/", 1404181658)</f>
        <v>1404181658</v>
      </c>
      <c r="D1123">
        <v>-8105.01</v>
      </c>
    </row>
    <row r="1124" spans="1:4" hidden="1" x14ac:dyDescent="0.25">
      <c r="A1124" t="s">
        <v>415</v>
      </c>
      <c r="B1124" t="s">
        <v>157</v>
      </c>
      <c r="C1124" s="2">
        <f>HYPERLINK("https://sao.dolgi.msk.ru/account/1404183004/", 1404183004)</f>
        <v>1404183004</v>
      </c>
      <c r="D1124">
        <v>0</v>
      </c>
    </row>
    <row r="1125" spans="1:4" hidden="1" x14ac:dyDescent="0.25">
      <c r="A1125" t="s">
        <v>415</v>
      </c>
      <c r="B1125" t="s">
        <v>158</v>
      </c>
      <c r="C1125" s="2">
        <f>HYPERLINK("https://sao.dolgi.msk.ru/account/1404183469/", 1404183469)</f>
        <v>1404183469</v>
      </c>
      <c r="D1125">
        <v>0</v>
      </c>
    </row>
    <row r="1126" spans="1:4" hidden="1" x14ac:dyDescent="0.25">
      <c r="A1126" t="s">
        <v>415</v>
      </c>
      <c r="B1126" t="s">
        <v>159</v>
      </c>
      <c r="C1126" s="2">
        <f>HYPERLINK("https://sao.dolgi.msk.ru/account/1404183549/", 1404183549)</f>
        <v>1404183549</v>
      </c>
      <c r="D1126">
        <v>-10196.06</v>
      </c>
    </row>
    <row r="1127" spans="1:4" hidden="1" x14ac:dyDescent="0.25">
      <c r="A1127" t="s">
        <v>415</v>
      </c>
      <c r="B1127" t="s">
        <v>160</v>
      </c>
      <c r="C1127" s="2">
        <f>HYPERLINK("https://sao.dolgi.msk.ru/account/1404183776/", 1404183776)</f>
        <v>1404183776</v>
      </c>
      <c r="D1127">
        <v>-6664.57</v>
      </c>
    </row>
    <row r="1128" spans="1:4" x14ac:dyDescent="0.25">
      <c r="A1128" t="s">
        <v>415</v>
      </c>
      <c r="B1128" t="s">
        <v>161</v>
      </c>
      <c r="C1128" s="2">
        <f>HYPERLINK("https://sao.dolgi.msk.ru/account/1404182212/", 1404182212)</f>
        <v>1404182212</v>
      </c>
      <c r="D1128">
        <v>30009.96</v>
      </c>
    </row>
    <row r="1129" spans="1:4" x14ac:dyDescent="0.25">
      <c r="A1129" t="s">
        <v>415</v>
      </c>
      <c r="B1129" t="s">
        <v>162</v>
      </c>
      <c r="C1129" s="2">
        <f>HYPERLINK("https://sao.dolgi.msk.ru/account/1404182036/", 1404182036)</f>
        <v>1404182036</v>
      </c>
      <c r="D1129">
        <v>23195.64</v>
      </c>
    </row>
    <row r="1130" spans="1:4" hidden="1" x14ac:dyDescent="0.25">
      <c r="A1130" t="s">
        <v>415</v>
      </c>
      <c r="B1130" t="s">
        <v>163</v>
      </c>
      <c r="C1130" s="2">
        <f>HYPERLINK("https://sao.dolgi.msk.ru/account/1404182626/", 1404182626)</f>
        <v>1404182626</v>
      </c>
      <c r="D1130">
        <v>-703.41</v>
      </c>
    </row>
    <row r="1131" spans="1:4" hidden="1" x14ac:dyDescent="0.25">
      <c r="A1131" t="s">
        <v>415</v>
      </c>
      <c r="B1131" t="s">
        <v>164</v>
      </c>
      <c r="C1131" s="2">
        <f>HYPERLINK("https://sao.dolgi.msk.ru/account/1404183522/", 1404183522)</f>
        <v>1404183522</v>
      </c>
      <c r="D1131">
        <v>0</v>
      </c>
    </row>
    <row r="1132" spans="1:4" hidden="1" x14ac:dyDescent="0.25">
      <c r="A1132" t="s">
        <v>415</v>
      </c>
      <c r="B1132" t="s">
        <v>165</v>
      </c>
      <c r="C1132" s="2">
        <f>HYPERLINK("https://sao.dolgi.msk.ru/account/1404181842/", 1404181842)</f>
        <v>1404181842</v>
      </c>
      <c r="D1132">
        <v>0</v>
      </c>
    </row>
    <row r="1133" spans="1:4" hidden="1" x14ac:dyDescent="0.25">
      <c r="A1133" t="s">
        <v>415</v>
      </c>
      <c r="B1133" t="s">
        <v>166</v>
      </c>
      <c r="C1133" s="2">
        <f>HYPERLINK("https://sao.dolgi.msk.ru/account/1404183557/", 1404183557)</f>
        <v>1404183557</v>
      </c>
      <c r="D1133">
        <v>-5108.62</v>
      </c>
    </row>
    <row r="1134" spans="1:4" hidden="1" x14ac:dyDescent="0.25">
      <c r="A1134" t="s">
        <v>415</v>
      </c>
      <c r="B1134" t="s">
        <v>167</v>
      </c>
      <c r="C1134" s="2">
        <f>HYPERLINK("https://sao.dolgi.msk.ru/account/1404183653/", 1404183653)</f>
        <v>1404183653</v>
      </c>
      <c r="D1134">
        <v>-4722.92</v>
      </c>
    </row>
    <row r="1135" spans="1:4" hidden="1" x14ac:dyDescent="0.25">
      <c r="A1135" t="s">
        <v>415</v>
      </c>
      <c r="B1135" t="s">
        <v>168</v>
      </c>
      <c r="C1135" s="2">
        <f>HYPERLINK("https://sao.dolgi.msk.ru/account/1404182298/", 1404182298)</f>
        <v>1404182298</v>
      </c>
      <c r="D1135">
        <v>-5558.65</v>
      </c>
    </row>
    <row r="1136" spans="1:4" hidden="1" x14ac:dyDescent="0.25">
      <c r="A1136" t="s">
        <v>415</v>
      </c>
      <c r="B1136" t="s">
        <v>169</v>
      </c>
      <c r="C1136" s="2">
        <f>HYPERLINK("https://sao.dolgi.msk.ru/account/1404183362/", 1404183362)</f>
        <v>1404183362</v>
      </c>
      <c r="D1136">
        <v>-5022.82</v>
      </c>
    </row>
    <row r="1137" spans="1:4" hidden="1" x14ac:dyDescent="0.25">
      <c r="A1137" t="s">
        <v>415</v>
      </c>
      <c r="B1137" t="s">
        <v>170</v>
      </c>
      <c r="C1137" s="2">
        <f>HYPERLINK("https://sao.dolgi.msk.ru/account/1404182909/", 1404182909)</f>
        <v>1404182909</v>
      </c>
      <c r="D1137">
        <v>0</v>
      </c>
    </row>
    <row r="1138" spans="1:4" hidden="1" x14ac:dyDescent="0.25">
      <c r="A1138" t="s">
        <v>415</v>
      </c>
      <c r="B1138" t="s">
        <v>171</v>
      </c>
      <c r="C1138" s="2">
        <f>HYPERLINK("https://sao.dolgi.msk.ru/account/1404183864/", 1404183864)</f>
        <v>1404183864</v>
      </c>
      <c r="D1138">
        <v>0</v>
      </c>
    </row>
    <row r="1139" spans="1:4" hidden="1" x14ac:dyDescent="0.25">
      <c r="A1139" t="s">
        <v>415</v>
      </c>
      <c r="B1139" t="s">
        <v>172</v>
      </c>
      <c r="C1139" s="2">
        <f>HYPERLINK("https://sao.dolgi.msk.ru/account/1404181762/", 1404181762)</f>
        <v>1404181762</v>
      </c>
      <c r="D1139">
        <v>-7086.87</v>
      </c>
    </row>
    <row r="1140" spans="1:4" hidden="1" x14ac:dyDescent="0.25">
      <c r="A1140" t="s">
        <v>415</v>
      </c>
      <c r="B1140" t="s">
        <v>173</v>
      </c>
      <c r="C1140" s="2">
        <f>HYPERLINK("https://sao.dolgi.msk.ru/account/1404181738/", 1404181738)</f>
        <v>1404181738</v>
      </c>
      <c r="D1140">
        <v>0</v>
      </c>
    </row>
    <row r="1141" spans="1:4" hidden="1" x14ac:dyDescent="0.25">
      <c r="A1141" t="s">
        <v>415</v>
      </c>
      <c r="B1141" t="s">
        <v>174</v>
      </c>
      <c r="C1141" s="2">
        <f>HYPERLINK("https://sao.dolgi.msk.ru/account/1404181439/", 1404181439)</f>
        <v>1404181439</v>
      </c>
      <c r="D1141">
        <v>0</v>
      </c>
    </row>
    <row r="1142" spans="1:4" x14ac:dyDescent="0.25">
      <c r="A1142" t="s">
        <v>415</v>
      </c>
      <c r="B1142" t="s">
        <v>175</v>
      </c>
      <c r="C1142" s="2">
        <f>HYPERLINK("https://sao.dolgi.msk.ru/account/1404181906/", 1404181906)</f>
        <v>1404181906</v>
      </c>
      <c r="D1142">
        <v>21887.74</v>
      </c>
    </row>
    <row r="1143" spans="1:4" x14ac:dyDescent="0.25">
      <c r="A1143" t="s">
        <v>415</v>
      </c>
      <c r="B1143" t="s">
        <v>176</v>
      </c>
      <c r="C1143" s="2">
        <f>HYPERLINK("https://sao.dolgi.msk.ru/account/1404182159/", 1404182159)</f>
        <v>1404182159</v>
      </c>
      <c r="D1143">
        <v>101349.31</v>
      </c>
    </row>
    <row r="1144" spans="1:4" hidden="1" x14ac:dyDescent="0.25">
      <c r="A1144" t="s">
        <v>415</v>
      </c>
      <c r="B1144" t="s">
        <v>177</v>
      </c>
      <c r="C1144" s="2">
        <f>HYPERLINK("https://sao.dolgi.msk.ru/account/1404182896/", 1404182896)</f>
        <v>1404182896</v>
      </c>
      <c r="D1144">
        <v>-5073.42</v>
      </c>
    </row>
    <row r="1145" spans="1:4" hidden="1" x14ac:dyDescent="0.25">
      <c r="A1145" t="s">
        <v>415</v>
      </c>
      <c r="B1145" t="s">
        <v>178</v>
      </c>
      <c r="C1145" s="2">
        <f>HYPERLINK("https://sao.dolgi.msk.ru/account/1404181789/", 1404181789)</f>
        <v>1404181789</v>
      </c>
      <c r="D1145">
        <v>-6240.63</v>
      </c>
    </row>
    <row r="1146" spans="1:4" hidden="1" x14ac:dyDescent="0.25">
      <c r="A1146" t="s">
        <v>415</v>
      </c>
      <c r="B1146" t="s">
        <v>179</v>
      </c>
      <c r="C1146" s="2">
        <f>HYPERLINK("https://sao.dolgi.msk.ru/account/1404182773/", 1404182773)</f>
        <v>1404182773</v>
      </c>
      <c r="D1146">
        <v>-5950.98</v>
      </c>
    </row>
    <row r="1147" spans="1:4" hidden="1" x14ac:dyDescent="0.25">
      <c r="A1147" t="s">
        <v>415</v>
      </c>
      <c r="B1147" t="s">
        <v>180</v>
      </c>
      <c r="C1147" s="2">
        <f>HYPERLINK("https://sao.dolgi.msk.ru/account/1404183709/", 1404183709)</f>
        <v>1404183709</v>
      </c>
      <c r="D1147">
        <v>0</v>
      </c>
    </row>
    <row r="1148" spans="1:4" hidden="1" x14ac:dyDescent="0.25">
      <c r="A1148" t="s">
        <v>415</v>
      </c>
      <c r="B1148" t="s">
        <v>181</v>
      </c>
      <c r="C1148" s="2">
        <f>HYPERLINK("https://sao.dolgi.msk.ru/account/1404182714/", 1404182714)</f>
        <v>1404182714</v>
      </c>
      <c r="D1148">
        <v>-6328.03</v>
      </c>
    </row>
    <row r="1149" spans="1:4" x14ac:dyDescent="0.25">
      <c r="A1149" t="s">
        <v>415</v>
      </c>
      <c r="B1149" t="s">
        <v>182</v>
      </c>
      <c r="C1149" s="2">
        <f>HYPERLINK("https://sao.dolgi.msk.ru/account/1404182263/", 1404182263)</f>
        <v>1404182263</v>
      </c>
      <c r="D1149">
        <v>22805.51</v>
      </c>
    </row>
    <row r="1150" spans="1:4" hidden="1" x14ac:dyDescent="0.25">
      <c r="A1150" t="s">
        <v>415</v>
      </c>
      <c r="B1150" t="s">
        <v>183</v>
      </c>
      <c r="C1150" s="2">
        <f>HYPERLINK("https://sao.dolgi.msk.ru/account/1404183434/", 1404183434)</f>
        <v>1404183434</v>
      </c>
      <c r="D1150">
        <v>0</v>
      </c>
    </row>
    <row r="1151" spans="1:4" hidden="1" x14ac:dyDescent="0.25">
      <c r="A1151" t="s">
        <v>415</v>
      </c>
      <c r="B1151" t="s">
        <v>184</v>
      </c>
      <c r="C1151" s="2">
        <f>HYPERLINK("https://sao.dolgi.msk.ru/account/1404183979/", 1404183979)</f>
        <v>1404183979</v>
      </c>
      <c r="D1151">
        <v>0</v>
      </c>
    </row>
    <row r="1152" spans="1:4" hidden="1" x14ac:dyDescent="0.25">
      <c r="A1152" t="s">
        <v>415</v>
      </c>
      <c r="B1152" t="s">
        <v>185</v>
      </c>
      <c r="C1152" s="2">
        <f>HYPERLINK("https://sao.dolgi.msk.ru/account/1404182351/", 1404182351)</f>
        <v>1404182351</v>
      </c>
      <c r="D1152">
        <v>-7097.97</v>
      </c>
    </row>
    <row r="1153" spans="1:4" x14ac:dyDescent="0.25">
      <c r="A1153" t="s">
        <v>415</v>
      </c>
      <c r="B1153" t="s">
        <v>186</v>
      </c>
      <c r="C1153" s="2">
        <f>HYPERLINK("https://sao.dolgi.msk.ru/account/1404181965/", 1404181965)</f>
        <v>1404181965</v>
      </c>
      <c r="D1153">
        <v>14858.64</v>
      </c>
    </row>
    <row r="1154" spans="1:4" hidden="1" x14ac:dyDescent="0.25">
      <c r="A1154" t="s">
        <v>415</v>
      </c>
      <c r="B1154" t="s">
        <v>187</v>
      </c>
      <c r="C1154" s="2">
        <f>HYPERLINK("https://sao.dolgi.msk.ru/account/1404183944/", 1404183944)</f>
        <v>1404183944</v>
      </c>
      <c r="D1154">
        <v>0</v>
      </c>
    </row>
    <row r="1155" spans="1:4" hidden="1" x14ac:dyDescent="0.25">
      <c r="A1155" t="s">
        <v>415</v>
      </c>
      <c r="B1155" t="s">
        <v>188</v>
      </c>
      <c r="C1155" s="2">
        <f>HYPERLINK("https://sao.dolgi.msk.ru/account/1404181711/", 1404181711)</f>
        <v>1404181711</v>
      </c>
      <c r="D1155">
        <v>-8296.74</v>
      </c>
    </row>
    <row r="1156" spans="1:4" hidden="1" x14ac:dyDescent="0.25">
      <c r="A1156" t="s">
        <v>415</v>
      </c>
      <c r="B1156" t="s">
        <v>189</v>
      </c>
      <c r="C1156" s="2">
        <f>HYPERLINK("https://sao.dolgi.msk.ru/account/1404182239/", 1404182239)</f>
        <v>1404182239</v>
      </c>
      <c r="D1156">
        <v>-6924.05</v>
      </c>
    </row>
    <row r="1157" spans="1:4" hidden="1" x14ac:dyDescent="0.25">
      <c r="A1157" t="s">
        <v>415</v>
      </c>
      <c r="B1157" t="s">
        <v>190</v>
      </c>
      <c r="C1157" s="2">
        <f>HYPERLINK("https://sao.dolgi.msk.ru/account/1404183418/", 1404183418)</f>
        <v>1404183418</v>
      </c>
      <c r="D1157">
        <v>-4509.95</v>
      </c>
    </row>
    <row r="1158" spans="1:4" hidden="1" x14ac:dyDescent="0.25">
      <c r="A1158" t="s">
        <v>415</v>
      </c>
      <c r="B1158" t="s">
        <v>191</v>
      </c>
      <c r="C1158" s="2">
        <f>HYPERLINK("https://sao.dolgi.msk.ru/account/1404181412/", 1404181412)</f>
        <v>1404181412</v>
      </c>
      <c r="D1158">
        <v>-7073.07</v>
      </c>
    </row>
    <row r="1159" spans="1:4" hidden="1" x14ac:dyDescent="0.25">
      <c r="A1159" t="s">
        <v>415</v>
      </c>
      <c r="B1159" t="s">
        <v>192</v>
      </c>
      <c r="C1159" s="2">
        <f>HYPERLINK("https://sao.dolgi.msk.ru/account/1404182917/", 1404182917)</f>
        <v>1404182917</v>
      </c>
      <c r="D1159">
        <v>0</v>
      </c>
    </row>
    <row r="1160" spans="1:4" hidden="1" x14ac:dyDescent="0.25">
      <c r="A1160" t="s">
        <v>415</v>
      </c>
      <c r="B1160" t="s">
        <v>193</v>
      </c>
      <c r="C1160" s="2">
        <f>HYPERLINK("https://sao.dolgi.msk.ru/account/1404183696/", 1404183696)</f>
        <v>1404183696</v>
      </c>
      <c r="D1160">
        <v>-5116.63</v>
      </c>
    </row>
    <row r="1161" spans="1:4" hidden="1" x14ac:dyDescent="0.25">
      <c r="A1161" t="s">
        <v>415</v>
      </c>
      <c r="B1161" t="s">
        <v>194</v>
      </c>
      <c r="C1161" s="2">
        <f>HYPERLINK("https://sao.dolgi.msk.ru/account/1404183872/", 1404183872)</f>
        <v>1404183872</v>
      </c>
      <c r="D1161">
        <v>0</v>
      </c>
    </row>
    <row r="1162" spans="1:4" hidden="1" x14ac:dyDescent="0.25">
      <c r="A1162" t="s">
        <v>415</v>
      </c>
      <c r="B1162" t="s">
        <v>195</v>
      </c>
      <c r="C1162" s="2">
        <f>HYPERLINK("https://sao.dolgi.msk.ru/account/1404182781/", 1404182781)</f>
        <v>1404182781</v>
      </c>
      <c r="D1162">
        <v>-6617.72</v>
      </c>
    </row>
    <row r="1163" spans="1:4" hidden="1" x14ac:dyDescent="0.25">
      <c r="A1163" t="s">
        <v>415</v>
      </c>
      <c r="B1163" t="s">
        <v>196</v>
      </c>
      <c r="C1163" s="2">
        <f>HYPERLINK("https://sao.dolgi.msk.ru/account/1404183899/", 1404183899)</f>
        <v>1404183899</v>
      </c>
      <c r="D1163">
        <v>-7893.37</v>
      </c>
    </row>
    <row r="1164" spans="1:4" hidden="1" x14ac:dyDescent="0.25">
      <c r="A1164" t="s">
        <v>415</v>
      </c>
      <c r="B1164" t="s">
        <v>197</v>
      </c>
      <c r="C1164" s="2">
        <f>HYPERLINK("https://sao.dolgi.msk.ru/account/1404183952/", 1404183952)</f>
        <v>1404183952</v>
      </c>
      <c r="D1164">
        <v>-8388.34</v>
      </c>
    </row>
    <row r="1165" spans="1:4" hidden="1" x14ac:dyDescent="0.25">
      <c r="A1165" t="s">
        <v>415</v>
      </c>
      <c r="B1165" t="s">
        <v>198</v>
      </c>
      <c r="C1165" s="2">
        <f>HYPERLINK("https://sao.dolgi.msk.ru/account/1404181551/", 1404181551)</f>
        <v>1404181551</v>
      </c>
      <c r="D1165">
        <v>-4936.74</v>
      </c>
    </row>
    <row r="1166" spans="1:4" hidden="1" x14ac:dyDescent="0.25">
      <c r="A1166" t="s">
        <v>415</v>
      </c>
      <c r="B1166" t="s">
        <v>199</v>
      </c>
      <c r="C1166" s="2">
        <f>HYPERLINK("https://sao.dolgi.msk.ru/account/1404182001/", 1404182001)</f>
        <v>1404182001</v>
      </c>
      <c r="D1166">
        <v>-4833.62</v>
      </c>
    </row>
    <row r="1167" spans="1:4" hidden="1" x14ac:dyDescent="0.25">
      <c r="A1167" t="s">
        <v>415</v>
      </c>
      <c r="B1167" t="s">
        <v>200</v>
      </c>
      <c r="C1167" s="2">
        <f>HYPERLINK("https://sao.dolgi.msk.ru/account/1404183354/", 1404183354)</f>
        <v>1404183354</v>
      </c>
      <c r="D1167">
        <v>-10689.51</v>
      </c>
    </row>
    <row r="1168" spans="1:4" hidden="1" x14ac:dyDescent="0.25">
      <c r="A1168" t="s">
        <v>415</v>
      </c>
      <c r="B1168" t="s">
        <v>201</v>
      </c>
      <c r="C1168" s="2">
        <f>HYPERLINK("https://sao.dolgi.msk.ru/account/1404182538/", 1404182538)</f>
        <v>1404182538</v>
      </c>
      <c r="D1168">
        <v>0</v>
      </c>
    </row>
    <row r="1169" spans="1:4" x14ac:dyDescent="0.25">
      <c r="A1169" t="s">
        <v>415</v>
      </c>
      <c r="B1169" t="s">
        <v>202</v>
      </c>
      <c r="C1169" s="2">
        <f>HYPERLINK("https://sao.dolgi.msk.ru/account/1404181797/", 1404181797)</f>
        <v>1404181797</v>
      </c>
      <c r="D1169">
        <v>5276.79</v>
      </c>
    </row>
    <row r="1170" spans="1:4" x14ac:dyDescent="0.25">
      <c r="A1170" t="s">
        <v>415</v>
      </c>
      <c r="B1170" t="s">
        <v>203</v>
      </c>
      <c r="C1170" s="2">
        <f>HYPERLINK("https://sao.dolgi.msk.ru/account/1404183477/", 1404183477)</f>
        <v>1404183477</v>
      </c>
      <c r="D1170">
        <v>14998.2</v>
      </c>
    </row>
    <row r="1171" spans="1:4" x14ac:dyDescent="0.25">
      <c r="A1171" t="s">
        <v>415</v>
      </c>
      <c r="B1171" t="s">
        <v>204</v>
      </c>
      <c r="C1171" s="2">
        <f>HYPERLINK("https://sao.dolgi.msk.ru/account/1404183127/", 1404183127)</f>
        <v>1404183127</v>
      </c>
      <c r="D1171">
        <v>27701.97</v>
      </c>
    </row>
    <row r="1172" spans="1:4" hidden="1" x14ac:dyDescent="0.25">
      <c r="A1172" t="s">
        <v>415</v>
      </c>
      <c r="B1172" t="s">
        <v>205</v>
      </c>
      <c r="C1172" s="2">
        <f>HYPERLINK("https://sao.dolgi.msk.ru/account/1404183506/", 1404183506)</f>
        <v>1404183506</v>
      </c>
      <c r="D1172">
        <v>-5031.67</v>
      </c>
    </row>
    <row r="1173" spans="1:4" x14ac:dyDescent="0.25">
      <c r="A1173" t="s">
        <v>415</v>
      </c>
      <c r="B1173" t="s">
        <v>206</v>
      </c>
      <c r="C1173" s="2">
        <f>HYPERLINK("https://sao.dolgi.msk.ru/account/1404182722/", 1404182722)</f>
        <v>1404182722</v>
      </c>
      <c r="D1173">
        <v>19070.490000000002</v>
      </c>
    </row>
    <row r="1174" spans="1:4" hidden="1" x14ac:dyDescent="0.25">
      <c r="A1174" t="s">
        <v>415</v>
      </c>
      <c r="B1174" t="s">
        <v>207</v>
      </c>
      <c r="C1174" s="2">
        <f>HYPERLINK("https://sao.dolgi.msk.ru/account/1404181471/", 1404181471)</f>
        <v>1404181471</v>
      </c>
      <c r="D1174">
        <v>0</v>
      </c>
    </row>
    <row r="1175" spans="1:4" hidden="1" x14ac:dyDescent="0.25">
      <c r="A1175" t="s">
        <v>415</v>
      </c>
      <c r="B1175" t="s">
        <v>208</v>
      </c>
      <c r="C1175" s="2">
        <f>HYPERLINK("https://sao.dolgi.msk.ru/account/1404182968/", 1404182968)</f>
        <v>1404182968</v>
      </c>
      <c r="D1175">
        <v>-1005.47</v>
      </c>
    </row>
    <row r="1176" spans="1:4" hidden="1" x14ac:dyDescent="0.25">
      <c r="A1176" t="s">
        <v>415</v>
      </c>
      <c r="B1176" t="s">
        <v>209</v>
      </c>
      <c r="C1176" s="2">
        <f>HYPERLINK("https://sao.dolgi.msk.ru/account/1404183856/", 1404183856)</f>
        <v>1404183856</v>
      </c>
      <c r="D1176">
        <v>0</v>
      </c>
    </row>
    <row r="1177" spans="1:4" x14ac:dyDescent="0.25">
      <c r="A1177" t="s">
        <v>415</v>
      </c>
      <c r="B1177" t="s">
        <v>210</v>
      </c>
      <c r="C1177" s="2">
        <f>HYPERLINK("https://sao.dolgi.msk.ru/account/1404181922/", 1404181922)</f>
        <v>1404181922</v>
      </c>
      <c r="D1177">
        <v>13169.47</v>
      </c>
    </row>
    <row r="1178" spans="1:4" hidden="1" x14ac:dyDescent="0.25">
      <c r="A1178" t="s">
        <v>415</v>
      </c>
      <c r="B1178" t="s">
        <v>211</v>
      </c>
      <c r="C1178" s="2">
        <f>HYPERLINK("https://sao.dolgi.msk.ru/account/1404181973/", 1404181973)</f>
        <v>1404181973</v>
      </c>
      <c r="D1178">
        <v>-6334.43</v>
      </c>
    </row>
    <row r="1179" spans="1:4" hidden="1" x14ac:dyDescent="0.25">
      <c r="A1179" t="s">
        <v>415</v>
      </c>
      <c r="B1179" t="s">
        <v>212</v>
      </c>
      <c r="C1179" s="2">
        <f>HYPERLINK("https://sao.dolgi.msk.ru/account/1404183143/", 1404183143)</f>
        <v>1404183143</v>
      </c>
      <c r="D1179">
        <v>0</v>
      </c>
    </row>
    <row r="1180" spans="1:4" hidden="1" x14ac:dyDescent="0.25">
      <c r="A1180" t="s">
        <v>415</v>
      </c>
      <c r="B1180" t="s">
        <v>213</v>
      </c>
      <c r="C1180" s="2">
        <f>HYPERLINK("https://sao.dolgi.msk.ru/account/1404181666/", 1404181666)</f>
        <v>1404181666</v>
      </c>
      <c r="D1180">
        <v>-7995.95</v>
      </c>
    </row>
    <row r="1181" spans="1:4" hidden="1" x14ac:dyDescent="0.25">
      <c r="A1181" t="s">
        <v>415</v>
      </c>
      <c r="B1181" t="s">
        <v>214</v>
      </c>
      <c r="C1181" s="2">
        <f>HYPERLINK("https://sao.dolgi.msk.ru/account/1404181586/", 1404181586)</f>
        <v>1404181586</v>
      </c>
      <c r="D1181">
        <v>-239.2</v>
      </c>
    </row>
    <row r="1182" spans="1:4" hidden="1" x14ac:dyDescent="0.25">
      <c r="A1182" t="s">
        <v>415</v>
      </c>
      <c r="B1182" t="s">
        <v>215</v>
      </c>
      <c r="C1182" s="2">
        <f>HYPERLINK("https://sao.dolgi.msk.ru/account/1404183258/", 1404183258)</f>
        <v>1404183258</v>
      </c>
      <c r="D1182">
        <v>-5584.6</v>
      </c>
    </row>
    <row r="1183" spans="1:4" hidden="1" x14ac:dyDescent="0.25">
      <c r="A1183" t="s">
        <v>415</v>
      </c>
      <c r="B1183" t="s">
        <v>216</v>
      </c>
      <c r="C1183" s="2">
        <f>HYPERLINK("https://sao.dolgi.msk.ru/account/1404183231/", 1404183231)</f>
        <v>1404183231</v>
      </c>
      <c r="D1183">
        <v>-8778.6</v>
      </c>
    </row>
    <row r="1184" spans="1:4" x14ac:dyDescent="0.25">
      <c r="A1184" t="s">
        <v>416</v>
      </c>
      <c r="B1184" t="s">
        <v>5</v>
      </c>
      <c r="C1184" s="2">
        <f>HYPERLINK("https://sao.dolgi.msk.ru/account/1404184648/", 1404184648)</f>
        <v>1404184648</v>
      </c>
      <c r="D1184">
        <v>2236.66</v>
      </c>
    </row>
    <row r="1185" spans="1:4" hidden="1" x14ac:dyDescent="0.25">
      <c r="A1185" t="s">
        <v>416</v>
      </c>
      <c r="B1185" t="s">
        <v>6</v>
      </c>
      <c r="C1185" s="2">
        <f>HYPERLINK("https://sao.dolgi.msk.ru/account/1404185325/", 1404185325)</f>
        <v>1404185325</v>
      </c>
      <c r="D1185">
        <v>-3649.4</v>
      </c>
    </row>
    <row r="1186" spans="1:4" x14ac:dyDescent="0.25">
      <c r="A1186" t="s">
        <v>416</v>
      </c>
      <c r="B1186" t="s">
        <v>7</v>
      </c>
      <c r="C1186" s="2">
        <f>HYPERLINK("https://sao.dolgi.msk.ru/account/1404184576/", 1404184576)</f>
        <v>1404184576</v>
      </c>
      <c r="D1186">
        <v>34571.47</v>
      </c>
    </row>
    <row r="1187" spans="1:4" hidden="1" x14ac:dyDescent="0.25">
      <c r="A1187" t="s">
        <v>416</v>
      </c>
      <c r="B1187" t="s">
        <v>8</v>
      </c>
      <c r="C1187" s="2">
        <f>HYPERLINK("https://sao.dolgi.msk.ru/account/1404184533/", 1404184533)</f>
        <v>1404184533</v>
      </c>
      <c r="D1187">
        <v>0</v>
      </c>
    </row>
    <row r="1188" spans="1:4" x14ac:dyDescent="0.25">
      <c r="A1188" t="s">
        <v>416</v>
      </c>
      <c r="B1188" t="s">
        <v>9</v>
      </c>
      <c r="C1188" s="2">
        <f>HYPERLINK("https://sao.dolgi.msk.ru/account/1404185309/", 1404185309)</f>
        <v>1404185309</v>
      </c>
      <c r="D1188">
        <v>8237.61</v>
      </c>
    </row>
    <row r="1189" spans="1:4" hidden="1" x14ac:dyDescent="0.25">
      <c r="A1189" t="s">
        <v>416</v>
      </c>
      <c r="B1189" t="s">
        <v>10</v>
      </c>
      <c r="C1189" s="2">
        <f>HYPERLINK("https://sao.dolgi.msk.ru/account/1404184517/", 1404184517)</f>
        <v>1404184517</v>
      </c>
      <c r="D1189">
        <v>-2334.42</v>
      </c>
    </row>
    <row r="1190" spans="1:4" x14ac:dyDescent="0.25">
      <c r="A1190" t="s">
        <v>416</v>
      </c>
      <c r="B1190" t="s">
        <v>11</v>
      </c>
      <c r="C1190" s="2">
        <f>HYPERLINK("https://sao.dolgi.msk.ru/account/1404184488/", 1404184488)</f>
        <v>1404184488</v>
      </c>
      <c r="D1190">
        <v>4445.99</v>
      </c>
    </row>
    <row r="1191" spans="1:4" x14ac:dyDescent="0.25">
      <c r="A1191" t="s">
        <v>416</v>
      </c>
      <c r="B1191" t="s">
        <v>12</v>
      </c>
      <c r="C1191" s="2">
        <f>HYPERLINK("https://sao.dolgi.msk.ru/account/1404184381/", 1404184381)</f>
        <v>1404184381</v>
      </c>
      <c r="D1191">
        <v>737.15</v>
      </c>
    </row>
    <row r="1192" spans="1:4" hidden="1" x14ac:dyDescent="0.25">
      <c r="A1192" t="s">
        <v>416</v>
      </c>
      <c r="B1192" t="s">
        <v>13</v>
      </c>
      <c r="C1192" s="2">
        <f>HYPERLINK("https://sao.dolgi.msk.ru/account/1404184429/", 1404184429)</f>
        <v>1404184429</v>
      </c>
      <c r="D1192">
        <v>-3326.52</v>
      </c>
    </row>
    <row r="1193" spans="1:4" x14ac:dyDescent="0.25">
      <c r="A1193" t="s">
        <v>416</v>
      </c>
      <c r="B1193" t="s">
        <v>14</v>
      </c>
      <c r="C1193" s="2">
        <f>HYPERLINK("https://sao.dolgi.msk.ru/account/1404185114/", 1404185114)</f>
        <v>1404185114</v>
      </c>
      <c r="D1193">
        <v>13144.56</v>
      </c>
    </row>
    <row r="1194" spans="1:4" hidden="1" x14ac:dyDescent="0.25">
      <c r="A1194" t="s">
        <v>416</v>
      </c>
      <c r="B1194" t="s">
        <v>15</v>
      </c>
      <c r="C1194" s="2">
        <f>HYPERLINK("https://sao.dolgi.msk.ru/account/1404184189/", 1404184189)</f>
        <v>1404184189</v>
      </c>
      <c r="D1194">
        <v>-12596.77</v>
      </c>
    </row>
    <row r="1195" spans="1:4" hidden="1" x14ac:dyDescent="0.25">
      <c r="A1195" t="s">
        <v>416</v>
      </c>
      <c r="B1195" t="s">
        <v>16</v>
      </c>
      <c r="C1195" s="2">
        <f>HYPERLINK("https://sao.dolgi.msk.ru/account/1404184963/", 1404184963)</f>
        <v>1404184963</v>
      </c>
      <c r="D1195">
        <v>-3363.68</v>
      </c>
    </row>
    <row r="1196" spans="1:4" hidden="1" x14ac:dyDescent="0.25">
      <c r="A1196" t="s">
        <v>416</v>
      </c>
      <c r="B1196" t="s">
        <v>17</v>
      </c>
      <c r="C1196" s="2">
        <f>HYPERLINK("https://sao.dolgi.msk.ru/account/1404184437/", 1404184437)</f>
        <v>1404184437</v>
      </c>
      <c r="D1196">
        <v>0</v>
      </c>
    </row>
    <row r="1197" spans="1:4" hidden="1" x14ac:dyDescent="0.25">
      <c r="A1197" t="s">
        <v>416</v>
      </c>
      <c r="B1197" t="s">
        <v>18</v>
      </c>
      <c r="C1197" s="2">
        <f>HYPERLINK("https://sao.dolgi.msk.ru/account/1404184031/", 1404184031)</f>
        <v>1404184031</v>
      </c>
      <c r="D1197">
        <v>-3384.3</v>
      </c>
    </row>
    <row r="1198" spans="1:4" hidden="1" x14ac:dyDescent="0.25">
      <c r="A1198" t="s">
        <v>416</v>
      </c>
      <c r="B1198" t="s">
        <v>19</v>
      </c>
      <c r="C1198" s="2">
        <f>HYPERLINK("https://sao.dolgi.msk.ru/account/1404184541/", 1404184541)</f>
        <v>1404184541</v>
      </c>
      <c r="D1198">
        <v>-2432.12</v>
      </c>
    </row>
    <row r="1199" spans="1:4" hidden="1" x14ac:dyDescent="0.25">
      <c r="A1199" t="s">
        <v>416</v>
      </c>
      <c r="B1199" t="s">
        <v>20</v>
      </c>
      <c r="C1199" s="2">
        <f>HYPERLINK("https://sao.dolgi.msk.ru/account/1404184736/", 1404184736)</f>
        <v>1404184736</v>
      </c>
      <c r="D1199">
        <v>-3461.42</v>
      </c>
    </row>
    <row r="1200" spans="1:4" hidden="1" x14ac:dyDescent="0.25">
      <c r="A1200" t="s">
        <v>416</v>
      </c>
      <c r="B1200" t="s">
        <v>21</v>
      </c>
      <c r="C1200" s="2">
        <f>HYPERLINK("https://sao.dolgi.msk.ru/account/1404184568/", 1404184568)</f>
        <v>1404184568</v>
      </c>
      <c r="D1200">
        <v>-5715.16</v>
      </c>
    </row>
    <row r="1201" spans="1:4" x14ac:dyDescent="0.25">
      <c r="A1201" t="s">
        <v>416</v>
      </c>
      <c r="B1201" t="s">
        <v>22</v>
      </c>
      <c r="C1201" s="2">
        <f>HYPERLINK("https://sao.dolgi.msk.ru/account/1404185069/", 1404185069)</f>
        <v>1404185069</v>
      </c>
      <c r="D1201">
        <v>14332</v>
      </c>
    </row>
    <row r="1202" spans="1:4" hidden="1" x14ac:dyDescent="0.25">
      <c r="A1202" t="s">
        <v>416</v>
      </c>
      <c r="B1202" t="s">
        <v>23</v>
      </c>
      <c r="C1202" s="2">
        <f>HYPERLINK("https://sao.dolgi.msk.ru/account/1404184744/", 1404184744)</f>
        <v>1404184744</v>
      </c>
      <c r="D1202">
        <v>0</v>
      </c>
    </row>
    <row r="1203" spans="1:4" hidden="1" x14ac:dyDescent="0.25">
      <c r="A1203" t="s">
        <v>416</v>
      </c>
      <c r="B1203" t="s">
        <v>24</v>
      </c>
      <c r="C1203" s="2">
        <f>HYPERLINK("https://sao.dolgi.msk.ru/account/1404184322/", 1404184322)</f>
        <v>1404184322</v>
      </c>
      <c r="D1203">
        <v>-4733.29</v>
      </c>
    </row>
    <row r="1204" spans="1:4" hidden="1" x14ac:dyDescent="0.25">
      <c r="A1204" t="s">
        <v>416</v>
      </c>
      <c r="B1204" t="s">
        <v>25</v>
      </c>
      <c r="C1204" s="2">
        <f>HYPERLINK("https://sao.dolgi.msk.ru/account/1404185333/", 1404185333)</f>
        <v>1404185333</v>
      </c>
      <c r="D1204">
        <v>0</v>
      </c>
    </row>
    <row r="1205" spans="1:4" x14ac:dyDescent="0.25">
      <c r="A1205" t="s">
        <v>416</v>
      </c>
      <c r="B1205" t="s">
        <v>26</v>
      </c>
      <c r="C1205" s="2">
        <f>HYPERLINK("https://sao.dolgi.msk.ru/account/1404184752/", 1404184752)</f>
        <v>1404184752</v>
      </c>
      <c r="D1205">
        <v>8417.08</v>
      </c>
    </row>
    <row r="1206" spans="1:4" hidden="1" x14ac:dyDescent="0.25">
      <c r="A1206" t="s">
        <v>416</v>
      </c>
      <c r="B1206" t="s">
        <v>27</v>
      </c>
      <c r="C1206" s="2">
        <f>HYPERLINK("https://sao.dolgi.msk.ru/account/1404184779/", 1404184779)</f>
        <v>1404184779</v>
      </c>
      <c r="D1206">
        <v>-7163.39</v>
      </c>
    </row>
    <row r="1207" spans="1:4" hidden="1" x14ac:dyDescent="0.25">
      <c r="A1207" t="s">
        <v>416</v>
      </c>
      <c r="B1207" t="s">
        <v>28</v>
      </c>
      <c r="C1207" s="2">
        <f>HYPERLINK("https://sao.dolgi.msk.ru/account/1404185341/", 1404185341)</f>
        <v>1404185341</v>
      </c>
      <c r="D1207">
        <v>-3644.08</v>
      </c>
    </row>
    <row r="1208" spans="1:4" hidden="1" x14ac:dyDescent="0.25">
      <c r="A1208" t="s">
        <v>416</v>
      </c>
      <c r="B1208" t="s">
        <v>29</v>
      </c>
      <c r="C1208" s="2">
        <f>HYPERLINK("https://sao.dolgi.msk.ru/account/1404185229/", 1404185229)</f>
        <v>1404185229</v>
      </c>
      <c r="D1208">
        <v>-4786.33</v>
      </c>
    </row>
    <row r="1209" spans="1:4" hidden="1" x14ac:dyDescent="0.25">
      <c r="A1209" t="s">
        <v>416</v>
      </c>
      <c r="B1209" t="s">
        <v>30</v>
      </c>
      <c r="C1209" s="2">
        <f>HYPERLINK("https://sao.dolgi.msk.ru/account/1404184904/", 1404184904)</f>
        <v>1404184904</v>
      </c>
      <c r="D1209">
        <v>0</v>
      </c>
    </row>
    <row r="1210" spans="1:4" hidden="1" x14ac:dyDescent="0.25">
      <c r="A1210" t="s">
        <v>416</v>
      </c>
      <c r="B1210" t="s">
        <v>31</v>
      </c>
      <c r="C1210" s="2">
        <f>HYPERLINK("https://sao.dolgi.msk.ru/account/1404184787/", 1404184787)</f>
        <v>1404184787</v>
      </c>
      <c r="D1210">
        <v>-4325.0200000000004</v>
      </c>
    </row>
    <row r="1211" spans="1:4" hidden="1" x14ac:dyDescent="0.25">
      <c r="A1211" t="s">
        <v>416</v>
      </c>
      <c r="B1211" t="s">
        <v>32</v>
      </c>
      <c r="C1211" s="2">
        <f>HYPERLINK("https://sao.dolgi.msk.ru/account/1404184912/", 1404184912)</f>
        <v>1404184912</v>
      </c>
      <c r="D1211">
        <v>-4646.3999999999996</v>
      </c>
    </row>
    <row r="1212" spans="1:4" hidden="1" x14ac:dyDescent="0.25">
      <c r="A1212" t="s">
        <v>416</v>
      </c>
      <c r="B1212" t="s">
        <v>33</v>
      </c>
      <c r="C1212" s="2">
        <f>HYPERLINK("https://sao.dolgi.msk.ru/account/1404184349/", 1404184349)</f>
        <v>1404184349</v>
      </c>
      <c r="D1212">
        <v>-5200.12</v>
      </c>
    </row>
    <row r="1213" spans="1:4" hidden="1" x14ac:dyDescent="0.25">
      <c r="A1213" t="s">
        <v>416</v>
      </c>
      <c r="B1213" t="s">
        <v>34</v>
      </c>
      <c r="C1213" s="2">
        <f>HYPERLINK("https://sao.dolgi.msk.ru/account/1404184939/", 1404184939)</f>
        <v>1404184939</v>
      </c>
      <c r="D1213">
        <v>-1899.71</v>
      </c>
    </row>
    <row r="1214" spans="1:4" hidden="1" x14ac:dyDescent="0.25">
      <c r="A1214" t="s">
        <v>416</v>
      </c>
      <c r="B1214" t="s">
        <v>35</v>
      </c>
      <c r="C1214" s="2">
        <f>HYPERLINK("https://sao.dolgi.msk.ru/account/1404184357/", 1404184357)</f>
        <v>1404184357</v>
      </c>
      <c r="D1214">
        <v>0</v>
      </c>
    </row>
    <row r="1215" spans="1:4" hidden="1" x14ac:dyDescent="0.25">
      <c r="A1215" t="s">
        <v>416</v>
      </c>
      <c r="B1215" t="s">
        <v>36</v>
      </c>
      <c r="C1215" s="2">
        <f>HYPERLINK("https://sao.dolgi.msk.ru/account/1404184584/", 1404184584)</f>
        <v>1404184584</v>
      </c>
      <c r="D1215">
        <v>-4534.03</v>
      </c>
    </row>
    <row r="1216" spans="1:4" hidden="1" x14ac:dyDescent="0.25">
      <c r="A1216" t="s">
        <v>416</v>
      </c>
      <c r="B1216" t="s">
        <v>37</v>
      </c>
      <c r="C1216" s="2">
        <f>HYPERLINK("https://sao.dolgi.msk.ru/account/1404185237/", 1404185237)</f>
        <v>1404185237</v>
      </c>
      <c r="D1216">
        <v>0</v>
      </c>
    </row>
    <row r="1217" spans="1:4" hidden="1" x14ac:dyDescent="0.25">
      <c r="A1217" t="s">
        <v>416</v>
      </c>
      <c r="B1217" t="s">
        <v>38</v>
      </c>
      <c r="C1217" s="2">
        <f>HYPERLINK("https://sao.dolgi.msk.ru/account/1404184728/", 1404184728)</f>
        <v>1404184728</v>
      </c>
      <c r="D1217">
        <v>-6119.03</v>
      </c>
    </row>
    <row r="1218" spans="1:4" hidden="1" x14ac:dyDescent="0.25">
      <c r="A1218" t="s">
        <v>416</v>
      </c>
      <c r="B1218" t="s">
        <v>39</v>
      </c>
      <c r="C1218" s="2">
        <f>HYPERLINK("https://sao.dolgi.msk.ru/account/1404184234/", 1404184234)</f>
        <v>1404184234</v>
      </c>
      <c r="D1218">
        <v>0</v>
      </c>
    </row>
    <row r="1219" spans="1:4" hidden="1" x14ac:dyDescent="0.25">
      <c r="A1219" t="s">
        <v>416</v>
      </c>
      <c r="B1219" t="s">
        <v>40</v>
      </c>
      <c r="C1219" s="2">
        <f>HYPERLINK("https://sao.dolgi.msk.ru/account/1404184111/", 1404184111)</f>
        <v>1404184111</v>
      </c>
      <c r="D1219">
        <v>-4138.76</v>
      </c>
    </row>
    <row r="1220" spans="1:4" x14ac:dyDescent="0.25">
      <c r="A1220" t="s">
        <v>416</v>
      </c>
      <c r="B1220" t="s">
        <v>41</v>
      </c>
      <c r="C1220" s="2">
        <f>HYPERLINK("https://sao.dolgi.msk.ru/account/1404184525/", 1404184525)</f>
        <v>1404184525</v>
      </c>
      <c r="D1220">
        <v>381.1</v>
      </c>
    </row>
    <row r="1221" spans="1:4" x14ac:dyDescent="0.25">
      <c r="A1221" t="s">
        <v>416</v>
      </c>
      <c r="B1221" t="s">
        <v>42</v>
      </c>
      <c r="C1221" s="2">
        <f>HYPERLINK("https://sao.dolgi.msk.ru/account/1404184699/", 1404184699)</f>
        <v>1404184699</v>
      </c>
      <c r="D1221">
        <v>7647.78</v>
      </c>
    </row>
    <row r="1222" spans="1:4" x14ac:dyDescent="0.25">
      <c r="A1222" t="s">
        <v>416</v>
      </c>
      <c r="B1222" t="s">
        <v>43</v>
      </c>
      <c r="C1222" s="2">
        <f>HYPERLINK("https://sao.dolgi.msk.ru/account/1404184242/", 1404184242)</f>
        <v>1404184242</v>
      </c>
      <c r="D1222">
        <v>6003.22</v>
      </c>
    </row>
    <row r="1223" spans="1:4" hidden="1" x14ac:dyDescent="0.25">
      <c r="A1223" t="s">
        <v>416</v>
      </c>
      <c r="B1223" t="s">
        <v>44</v>
      </c>
      <c r="C1223" s="2">
        <f>HYPERLINK("https://sao.dolgi.msk.ru/account/1404184701/", 1404184701)</f>
        <v>1404184701</v>
      </c>
      <c r="D1223">
        <v>-4147.3500000000004</v>
      </c>
    </row>
    <row r="1224" spans="1:4" hidden="1" x14ac:dyDescent="0.25">
      <c r="A1224" t="s">
        <v>416</v>
      </c>
      <c r="B1224" t="s">
        <v>45</v>
      </c>
      <c r="C1224" s="2">
        <f>HYPERLINK("https://sao.dolgi.msk.ru/account/1404184269/", 1404184269)</f>
        <v>1404184269</v>
      </c>
      <c r="D1224">
        <v>-3875.77</v>
      </c>
    </row>
    <row r="1225" spans="1:4" x14ac:dyDescent="0.25">
      <c r="A1225" t="s">
        <v>416</v>
      </c>
      <c r="B1225" t="s">
        <v>46</v>
      </c>
      <c r="C1225" s="2">
        <f>HYPERLINK("https://sao.dolgi.msk.ru/account/1404185296/", 1404185296)</f>
        <v>1404185296</v>
      </c>
      <c r="D1225">
        <v>8687.33</v>
      </c>
    </row>
    <row r="1226" spans="1:4" x14ac:dyDescent="0.25">
      <c r="A1226" t="s">
        <v>416</v>
      </c>
      <c r="B1226" t="s">
        <v>47</v>
      </c>
      <c r="C1226" s="2">
        <f>HYPERLINK("https://sao.dolgi.msk.ru/account/1404184832/", 1404184832)</f>
        <v>1404184832</v>
      </c>
      <c r="D1226">
        <v>20131.939999999999</v>
      </c>
    </row>
    <row r="1227" spans="1:4" hidden="1" x14ac:dyDescent="0.25">
      <c r="A1227" t="s">
        <v>416</v>
      </c>
      <c r="B1227" t="s">
        <v>48</v>
      </c>
      <c r="C1227" s="2">
        <f>HYPERLINK("https://sao.dolgi.msk.ru/account/1404185165/", 1404185165)</f>
        <v>1404185165</v>
      </c>
      <c r="D1227">
        <v>0</v>
      </c>
    </row>
    <row r="1228" spans="1:4" hidden="1" x14ac:dyDescent="0.25">
      <c r="A1228" t="s">
        <v>416</v>
      </c>
      <c r="B1228" t="s">
        <v>49</v>
      </c>
      <c r="C1228" s="2">
        <f>HYPERLINK("https://sao.dolgi.msk.ru/account/1404185173/", 1404185173)</f>
        <v>1404185173</v>
      </c>
      <c r="D1228">
        <v>0</v>
      </c>
    </row>
    <row r="1229" spans="1:4" hidden="1" x14ac:dyDescent="0.25">
      <c r="A1229" t="s">
        <v>416</v>
      </c>
      <c r="B1229" t="s">
        <v>50</v>
      </c>
      <c r="C1229" s="2">
        <f>HYPERLINK("https://sao.dolgi.msk.ru/account/1404184277/", 1404184277)</f>
        <v>1404184277</v>
      </c>
      <c r="D1229">
        <v>-6346.85</v>
      </c>
    </row>
    <row r="1230" spans="1:4" hidden="1" x14ac:dyDescent="0.25">
      <c r="A1230" t="s">
        <v>416</v>
      </c>
      <c r="B1230" t="s">
        <v>51</v>
      </c>
      <c r="C1230" s="2">
        <f>HYPERLINK("https://sao.dolgi.msk.ru/account/1404184998/", 1404184998)</f>
        <v>1404184998</v>
      </c>
      <c r="D1230">
        <v>0</v>
      </c>
    </row>
    <row r="1231" spans="1:4" hidden="1" x14ac:dyDescent="0.25">
      <c r="A1231" t="s">
        <v>416</v>
      </c>
      <c r="B1231" t="s">
        <v>52</v>
      </c>
      <c r="C1231" s="2">
        <f>HYPERLINK("https://sao.dolgi.msk.ru/account/1404184891/", 1404184891)</f>
        <v>1404184891</v>
      </c>
      <c r="D1231">
        <v>-4819.93</v>
      </c>
    </row>
    <row r="1232" spans="1:4" hidden="1" x14ac:dyDescent="0.25">
      <c r="A1232" t="s">
        <v>416</v>
      </c>
      <c r="B1232" t="s">
        <v>53</v>
      </c>
      <c r="C1232" s="2">
        <f>HYPERLINK("https://sao.dolgi.msk.ru/account/1404185181/", 1404185181)</f>
        <v>1404185181</v>
      </c>
      <c r="D1232">
        <v>0</v>
      </c>
    </row>
    <row r="1233" spans="1:4" hidden="1" x14ac:dyDescent="0.25">
      <c r="A1233" t="s">
        <v>416</v>
      </c>
      <c r="B1233" t="s">
        <v>54</v>
      </c>
      <c r="C1233" s="2">
        <f>HYPERLINK("https://sao.dolgi.msk.ru/account/1404184285/", 1404184285)</f>
        <v>1404184285</v>
      </c>
      <c r="D1233">
        <v>-10667.19</v>
      </c>
    </row>
    <row r="1234" spans="1:4" hidden="1" x14ac:dyDescent="0.25">
      <c r="A1234" t="s">
        <v>416</v>
      </c>
      <c r="B1234" t="s">
        <v>55</v>
      </c>
      <c r="C1234" s="2">
        <f>HYPERLINK("https://sao.dolgi.msk.ru/account/1404185018/", 1404185018)</f>
        <v>1404185018</v>
      </c>
      <c r="D1234">
        <v>-12938.94</v>
      </c>
    </row>
    <row r="1235" spans="1:4" hidden="1" x14ac:dyDescent="0.25">
      <c r="A1235" t="s">
        <v>416</v>
      </c>
      <c r="B1235" t="s">
        <v>56</v>
      </c>
      <c r="C1235" s="2">
        <f>HYPERLINK("https://sao.dolgi.msk.ru/account/1404184293/", 1404184293)</f>
        <v>1404184293</v>
      </c>
      <c r="D1235">
        <v>-671.48</v>
      </c>
    </row>
    <row r="1236" spans="1:4" hidden="1" x14ac:dyDescent="0.25">
      <c r="A1236" t="s">
        <v>416</v>
      </c>
      <c r="B1236" t="s">
        <v>57</v>
      </c>
      <c r="C1236" s="2">
        <f>HYPERLINK("https://sao.dolgi.msk.ru/account/1404185026/", 1404185026)</f>
        <v>1404185026</v>
      </c>
      <c r="D1236">
        <v>0</v>
      </c>
    </row>
    <row r="1237" spans="1:4" hidden="1" x14ac:dyDescent="0.25">
      <c r="A1237" t="s">
        <v>416</v>
      </c>
      <c r="B1237" t="s">
        <v>58</v>
      </c>
      <c r="C1237" s="2">
        <f>HYPERLINK("https://sao.dolgi.msk.ru/account/1404185034/", 1404185034)</f>
        <v>1404185034</v>
      </c>
      <c r="D1237">
        <v>-9039.18</v>
      </c>
    </row>
    <row r="1238" spans="1:4" hidden="1" x14ac:dyDescent="0.25">
      <c r="A1238" t="s">
        <v>416</v>
      </c>
      <c r="B1238" t="s">
        <v>59</v>
      </c>
      <c r="C1238" s="2">
        <f>HYPERLINK("https://sao.dolgi.msk.ru/account/1404184074/", 1404184074)</f>
        <v>1404184074</v>
      </c>
      <c r="D1238">
        <v>0</v>
      </c>
    </row>
    <row r="1239" spans="1:4" hidden="1" x14ac:dyDescent="0.25">
      <c r="A1239" t="s">
        <v>416</v>
      </c>
      <c r="B1239" t="s">
        <v>60</v>
      </c>
      <c r="C1239" s="2">
        <f>HYPERLINK("https://sao.dolgi.msk.ru/account/1404185261/", 1404185261)</f>
        <v>1404185261</v>
      </c>
      <c r="D1239">
        <v>-4314.72</v>
      </c>
    </row>
    <row r="1240" spans="1:4" hidden="1" x14ac:dyDescent="0.25">
      <c r="A1240" t="s">
        <v>416</v>
      </c>
      <c r="B1240" t="s">
        <v>61</v>
      </c>
      <c r="C1240" s="2">
        <f>HYPERLINK("https://sao.dolgi.msk.ru/account/1404184509/", 1404184509)</f>
        <v>1404184509</v>
      </c>
      <c r="D1240">
        <v>0</v>
      </c>
    </row>
    <row r="1241" spans="1:4" hidden="1" x14ac:dyDescent="0.25">
      <c r="A1241" t="s">
        <v>416</v>
      </c>
      <c r="B1241" t="s">
        <v>62</v>
      </c>
      <c r="C1241" s="2">
        <f>HYPERLINK("https://sao.dolgi.msk.ru/account/1404184082/", 1404184082)</f>
        <v>1404184082</v>
      </c>
      <c r="D1241">
        <v>-3928.9</v>
      </c>
    </row>
    <row r="1242" spans="1:4" hidden="1" x14ac:dyDescent="0.25">
      <c r="A1242" t="s">
        <v>416</v>
      </c>
      <c r="B1242" t="s">
        <v>63</v>
      </c>
      <c r="C1242" s="2">
        <f>HYPERLINK("https://sao.dolgi.msk.ru/account/1404184103/", 1404184103)</f>
        <v>1404184103</v>
      </c>
      <c r="D1242">
        <v>-8539.08</v>
      </c>
    </row>
    <row r="1243" spans="1:4" hidden="1" x14ac:dyDescent="0.25">
      <c r="A1243" t="s">
        <v>416</v>
      </c>
      <c r="B1243" t="s">
        <v>64</v>
      </c>
      <c r="C1243" s="2">
        <f>HYPERLINK("https://sao.dolgi.msk.ru/account/1404185288/", 1404185288)</f>
        <v>1404185288</v>
      </c>
      <c r="D1243">
        <v>-4485.7700000000004</v>
      </c>
    </row>
    <row r="1244" spans="1:4" hidden="1" x14ac:dyDescent="0.25">
      <c r="A1244" t="s">
        <v>416</v>
      </c>
      <c r="B1244" t="s">
        <v>65</v>
      </c>
      <c r="C1244" s="2">
        <f>HYPERLINK("https://sao.dolgi.msk.ru/account/1404184947/", 1404184947)</f>
        <v>1404184947</v>
      </c>
      <c r="D1244">
        <v>-8040.66</v>
      </c>
    </row>
    <row r="1245" spans="1:4" hidden="1" x14ac:dyDescent="0.25">
      <c r="A1245" t="s">
        <v>416</v>
      </c>
      <c r="B1245" t="s">
        <v>66</v>
      </c>
      <c r="C1245" s="2">
        <f>HYPERLINK("https://sao.dolgi.msk.ru/account/1404184672/", 1404184672)</f>
        <v>1404184672</v>
      </c>
      <c r="D1245">
        <v>-6583.88</v>
      </c>
    </row>
    <row r="1246" spans="1:4" hidden="1" x14ac:dyDescent="0.25">
      <c r="A1246" t="s">
        <v>416</v>
      </c>
      <c r="B1246" t="s">
        <v>67</v>
      </c>
      <c r="C1246" s="2">
        <f>HYPERLINK("https://sao.dolgi.msk.ru/account/1404185157/", 1404185157)</f>
        <v>1404185157</v>
      </c>
      <c r="D1246">
        <v>0</v>
      </c>
    </row>
    <row r="1247" spans="1:4" hidden="1" x14ac:dyDescent="0.25">
      <c r="A1247" t="s">
        <v>416</v>
      </c>
      <c r="B1247" t="s">
        <v>68</v>
      </c>
      <c r="C1247" s="2">
        <f>HYPERLINK("https://sao.dolgi.msk.ru/account/1404184453/", 1404184453)</f>
        <v>1404184453</v>
      </c>
      <c r="D1247">
        <v>-4393.37</v>
      </c>
    </row>
    <row r="1248" spans="1:4" hidden="1" x14ac:dyDescent="0.25">
      <c r="A1248" t="s">
        <v>416</v>
      </c>
      <c r="B1248" t="s">
        <v>69</v>
      </c>
      <c r="C1248" s="2">
        <f>HYPERLINK("https://sao.dolgi.msk.ru/account/1404185122/", 1404185122)</f>
        <v>1404185122</v>
      </c>
      <c r="D1248">
        <v>-1855.9</v>
      </c>
    </row>
    <row r="1249" spans="1:4" hidden="1" x14ac:dyDescent="0.25">
      <c r="A1249" t="s">
        <v>416</v>
      </c>
      <c r="B1249" t="s">
        <v>70</v>
      </c>
      <c r="C1249" s="2">
        <f>HYPERLINK("https://sao.dolgi.msk.ru/account/1404184816/", 1404184816)</f>
        <v>1404184816</v>
      </c>
      <c r="D1249">
        <v>0</v>
      </c>
    </row>
    <row r="1250" spans="1:4" hidden="1" x14ac:dyDescent="0.25">
      <c r="A1250" t="s">
        <v>416</v>
      </c>
      <c r="B1250" t="s">
        <v>71</v>
      </c>
      <c r="C1250" s="2">
        <f>HYPERLINK("https://sao.dolgi.msk.ru/account/1404184461/", 1404184461)</f>
        <v>1404184461</v>
      </c>
      <c r="D1250">
        <v>-4328.83</v>
      </c>
    </row>
    <row r="1251" spans="1:4" hidden="1" x14ac:dyDescent="0.25">
      <c r="A1251" t="s">
        <v>416</v>
      </c>
      <c r="B1251" t="s">
        <v>72</v>
      </c>
      <c r="C1251" s="2">
        <f>HYPERLINK("https://sao.dolgi.msk.ru/account/1404184971/", 1404184971)</f>
        <v>1404184971</v>
      </c>
      <c r="D1251">
        <v>-5625.11</v>
      </c>
    </row>
    <row r="1252" spans="1:4" hidden="1" x14ac:dyDescent="0.25">
      <c r="A1252" t="s">
        <v>416</v>
      </c>
      <c r="B1252" t="s">
        <v>73</v>
      </c>
      <c r="C1252" s="2">
        <f>HYPERLINK("https://sao.dolgi.msk.ru/account/1404184664/", 1404184664)</f>
        <v>1404184664</v>
      </c>
      <c r="D1252">
        <v>-2804.78</v>
      </c>
    </row>
    <row r="1253" spans="1:4" hidden="1" x14ac:dyDescent="0.25">
      <c r="A1253" t="s">
        <v>416</v>
      </c>
      <c r="B1253" t="s">
        <v>74</v>
      </c>
      <c r="C1253" s="2">
        <f>HYPERLINK("https://sao.dolgi.msk.ru/account/1404185149/", 1404185149)</f>
        <v>1404185149</v>
      </c>
      <c r="D1253">
        <v>0</v>
      </c>
    </row>
    <row r="1254" spans="1:4" hidden="1" x14ac:dyDescent="0.25">
      <c r="A1254" t="s">
        <v>416</v>
      </c>
      <c r="B1254" t="s">
        <v>75</v>
      </c>
      <c r="C1254" s="2">
        <f>HYPERLINK("https://sao.dolgi.msk.ru/account/1404184824/", 1404184824)</f>
        <v>1404184824</v>
      </c>
      <c r="D1254">
        <v>-2689.7</v>
      </c>
    </row>
    <row r="1255" spans="1:4" hidden="1" x14ac:dyDescent="0.25">
      <c r="A1255" t="s">
        <v>416</v>
      </c>
      <c r="B1255" t="s">
        <v>76</v>
      </c>
      <c r="C1255" s="2">
        <f>HYPERLINK("https://sao.dolgi.msk.ru/account/1404184496/", 1404184496)</f>
        <v>1404184496</v>
      </c>
      <c r="D1255">
        <v>-228.05</v>
      </c>
    </row>
    <row r="1256" spans="1:4" hidden="1" x14ac:dyDescent="0.25">
      <c r="A1256" t="s">
        <v>416</v>
      </c>
      <c r="B1256" t="s">
        <v>77</v>
      </c>
      <c r="C1256" s="2">
        <f>HYPERLINK("https://sao.dolgi.msk.ru/account/1404184066/", 1404184066)</f>
        <v>1404184066</v>
      </c>
      <c r="D1256">
        <v>-2308.06</v>
      </c>
    </row>
    <row r="1257" spans="1:4" hidden="1" x14ac:dyDescent="0.25">
      <c r="A1257" t="s">
        <v>416</v>
      </c>
      <c r="B1257" t="s">
        <v>78</v>
      </c>
      <c r="C1257" s="2">
        <f>HYPERLINK("https://sao.dolgi.msk.ru/account/1404184058/", 1404184058)</f>
        <v>1404184058</v>
      </c>
      <c r="D1257">
        <v>-727.9</v>
      </c>
    </row>
    <row r="1258" spans="1:4" hidden="1" x14ac:dyDescent="0.25">
      <c r="A1258" t="s">
        <v>416</v>
      </c>
      <c r="B1258" t="s">
        <v>79</v>
      </c>
      <c r="C1258" s="2">
        <f>HYPERLINK("https://sao.dolgi.msk.ru/account/1404184592/", 1404184592)</f>
        <v>1404184592</v>
      </c>
      <c r="D1258">
        <v>-4583.7</v>
      </c>
    </row>
    <row r="1259" spans="1:4" hidden="1" x14ac:dyDescent="0.25">
      <c r="A1259" t="s">
        <v>416</v>
      </c>
      <c r="B1259" t="s">
        <v>80</v>
      </c>
      <c r="C1259" s="2">
        <f>HYPERLINK("https://sao.dolgi.msk.ru/account/1404185085/", 1404185085)</f>
        <v>1404185085</v>
      </c>
      <c r="D1259">
        <v>-6071.29</v>
      </c>
    </row>
    <row r="1260" spans="1:4" x14ac:dyDescent="0.25">
      <c r="A1260" t="s">
        <v>416</v>
      </c>
      <c r="B1260" t="s">
        <v>81</v>
      </c>
      <c r="C1260" s="2">
        <f>HYPERLINK("https://sao.dolgi.msk.ru/account/1404184138/", 1404184138)</f>
        <v>1404184138</v>
      </c>
      <c r="D1260">
        <v>30473.200000000001</v>
      </c>
    </row>
    <row r="1261" spans="1:4" hidden="1" x14ac:dyDescent="0.25">
      <c r="A1261" t="s">
        <v>416</v>
      </c>
      <c r="B1261" t="s">
        <v>82</v>
      </c>
      <c r="C1261" s="2">
        <f>HYPERLINK("https://sao.dolgi.msk.ru/account/1404184365/", 1404184365)</f>
        <v>1404184365</v>
      </c>
      <c r="D1261">
        <v>-6586.52</v>
      </c>
    </row>
    <row r="1262" spans="1:4" hidden="1" x14ac:dyDescent="0.25">
      <c r="A1262" t="s">
        <v>416</v>
      </c>
      <c r="B1262" t="s">
        <v>83</v>
      </c>
      <c r="C1262" s="2">
        <f>HYPERLINK("https://sao.dolgi.msk.ru/account/1404184373/", 1404184373)</f>
        <v>1404184373</v>
      </c>
      <c r="D1262">
        <v>0</v>
      </c>
    </row>
    <row r="1263" spans="1:4" hidden="1" x14ac:dyDescent="0.25">
      <c r="A1263" t="s">
        <v>416</v>
      </c>
      <c r="B1263" t="s">
        <v>84</v>
      </c>
      <c r="C1263" s="2">
        <f>HYPERLINK("https://sao.dolgi.msk.ru/account/1404184146/", 1404184146)</f>
        <v>1404184146</v>
      </c>
      <c r="D1263">
        <v>-3762.5</v>
      </c>
    </row>
    <row r="1264" spans="1:4" x14ac:dyDescent="0.25">
      <c r="A1264" t="s">
        <v>416</v>
      </c>
      <c r="B1264" t="s">
        <v>85</v>
      </c>
      <c r="C1264" s="2">
        <f>HYPERLINK("https://sao.dolgi.msk.ru/account/1404185093/", 1404185093)</f>
        <v>1404185093</v>
      </c>
      <c r="D1264">
        <v>29870.880000000001</v>
      </c>
    </row>
    <row r="1265" spans="1:4" hidden="1" x14ac:dyDescent="0.25">
      <c r="A1265" t="s">
        <v>416</v>
      </c>
      <c r="B1265" t="s">
        <v>86</v>
      </c>
      <c r="C1265" s="2">
        <f>HYPERLINK("https://sao.dolgi.msk.ru/account/1404184955/", 1404184955)</f>
        <v>1404184955</v>
      </c>
      <c r="D1265">
        <v>0</v>
      </c>
    </row>
    <row r="1266" spans="1:4" x14ac:dyDescent="0.25">
      <c r="A1266" t="s">
        <v>416</v>
      </c>
      <c r="B1266" t="s">
        <v>87</v>
      </c>
      <c r="C1266" s="2">
        <f>HYPERLINK("https://sao.dolgi.msk.ru/account/1404184605/", 1404184605)</f>
        <v>1404184605</v>
      </c>
      <c r="D1266">
        <v>39938.14</v>
      </c>
    </row>
    <row r="1267" spans="1:4" hidden="1" x14ac:dyDescent="0.25">
      <c r="A1267" t="s">
        <v>416</v>
      </c>
      <c r="B1267" t="s">
        <v>88</v>
      </c>
      <c r="C1267" s="2">
        <f>HYPERLINK("https://sao.dolgi.msk.ru/account/1404185106/", 1404185106)</f>
        <v>1404185106</v>
      </c>
      <c r="D1267">
        <v>-4266.3599999999997</v>
      </c>
    </row>
    <row r="1268" spans="1:4" hidden="1" x14ac:dyDescent="0.25">
      <c r="A1268" t="s">
        <v>416</v>
      </c>
      <c r="B1268" t="s">
        <v>89</v>
      </c>
      <c r="C1268" s="2">
        <f>HYPERLINK("https://sao.dolgi.msk.ru/account/1404184154/", 1404184154)</f>
        <v>1404184154</v>
      </c>
      <c r="D1268">
        <v>-1252.08</v>
      </c>
    </row>
    <row r="1269" spans="1:4" hidden="1" x14ac:dyDescent="0.25">
      <c r="A1269" t="s">
        <v>416</v>
      </c>
      <c r="B1269" t="s">
        <v>89</v>
      </c>
      <c r="C1269" s="2">
        <f>HYPERLINK("https://sao.dolgi.msk.ru/account/1404184445/", 1404184445)</f>
        <v>1404184445</v>
      </c>
      <c r="D1269">
        <v>-2133.5100000000002</v>
      </c>
    </row>
    <row r="1270" spans="1:4" hidden="1" x14ac:dyDescent="0.25">
      <c r="A1270" t="s">
        <v>416</v>
      </c>
      <c r="B1270" t="s">
        <v>90</v>
      </c>
      <c r="C1270" s="2">
        <f>HYPERLINK("https://sao.dolgi.msk.ru/account/1404184795/", 1404184795)</f>
        <v>1404184795</v>
      </c>
      <c r="D1270">
        <v>-8338.86</v>
      </c>
    </row>
    <row r="1271" spans="1:4" x14ac:dyDescent="0.25">
      <c r="A1271" t="s">
        <v>416</v>
      </c>
      <c r="B1271" t="s">
        <v>91</v>
      </c>
      <c r="C1271" s="2">
        <f>HYPERLINK("https://sao.dolgi.msk.ru/account/1404184613/", 1404184613)</f>
        <v>1404184613</v>
      </c>
      <c r="D1271">
        <v>9484.3799999999992</v>
      </c>
    </row>
    <row r="1272" spans="1:4" hidden="1" x14ac:dyDescent="0.25">
      <c r="A1272" t="s">
        <v>416</v>
      </c>
      <c r="B1272" t="s">
        <v>92</v>
      </c>
      <c r="C1272" s="2">
        <f>HYPERLINK("https://sao.dolgi.msk.ru/account/1404184402/", 1404184402)</f>
        <v>1404184402</v>
      </c>
      <c r="D1272">
        <v>-4629.05</v>
      </c>
    </row>
    <row r="1273" spans="1:4" hidden="1" x14ac:dyDescent="0.25">
      <c r="A1273" t="s">
        <v>416</v>
      </c>
      <c r="B1273" t="s">
        <v>93</v>
      </c>
      <c r="C1273" s="2">
        <f>HYPERLINK("https://sao.dolgi.msk.ru/account/1404184162/", 1404184162)</f>
        <v>1404184162</v>
      </c>
      <c r="D1273">
        <v>-3315.5</v>
      </c>
    </row>
    <row r="1274" spans="1:4" hidden="1" x14ac:dyDescent="0.25">
      <c r="A1274" t="s">
        <v>416</v>
      </c>
      <c r="B1274" t="s">
        <v>94</v>
      </c>
      <c r="C1274" s="2">
        <f>HYPERLINK("https://sao.dolgi.msk.ru/account/1404184621/", 1404184621)</f>
        <v>1404184621</v>
      </c>
      <c r="D1274">
        <v>-5551.63</v>
      </c>
    </row>
    <row r="1275" spans="1:4" hidden="1" x14ac:dyDescent="0.25">
      <c r="A1275" t="s">
        <v>416</v>
      </c>
      <c r="B1275" t="s">
        <v>95</v>
      </c>
      <c r="C1275" s="2">
        <f>HYPERLINK("https://sao.dolgi.msk.ru/account/1404184023/", 1404184023)</f>
        <v>1404184023</v>
      </c>
      <c r="D1275">
        <v>-4072.61</v>
      </c>
    </row>
    <row r="1276" spans="1:4" hidden="1" x14ac:dyDescent="0.25">
      <c r="A1276" t="s">
        <v>416</v>
      </c>
      <c r="B1276" t="s">
        <v>96</v>
      </c>
      <c r="C1276" s="2">
        <f>HYPERLINK("https://sao.dolgi.msk.ru/account/1404185202/", 1404185202)</f>
        <v>1404185202</v>
      </c>
      <c r="D1276">
        <v>-134.30000000000001</v>
      </c>
    </row>
    <row r="1277" spans="1:4" hidden="1" x14ac:dyDescent="0.25">
      <c r="A1277" t="s">
        <v>416</v>
      </c>
      <c r="B1277" t="s">
        <v>97</v>
      </c>
      <c r="C1277" s="2">
        <f>HYPERLINK("https://sao.dolgi.msk.ru/account/1404184306/", 1404184306)</f>
        <v>1404184306</v>
      </c>
      <c r="D1277">
        <v>-4593.0200000000004</v>
      </c>
    </row>
    <row r="1278" spans="1:4" x14ac:dyDescent="0.25">
      <c r="A1278" t="s">
        <v>416</v>
      </c>
      <c r="B1278" t="s">
        <v>98</v>
      </c>
      <c r="C1278" s="2">
        <f>HYPERLINK("https://sao.dolgi.msk.ru/account/1404185042/", 1404185042)</f>
        <v>1404185042</v>
      </c>
      <c r="D1278">
        <v>12125.12</v>
      </c>
    </row>
    <row r="1279" spans="1:4" hidden="1" x14ac:dyDescent="0.25">
      <c r="A1279" t="s">
        <v>416</v>
      </c>
      <c r="B1279" t="s">
        <v>99</v>
      </c>
      <c r="C1279" s="2">
        <f>HYPERLINK("https://sao.dolgi.msk.ru/account/1404185317/", 1404185317)</f>
        <v>1404185317</v>
      </c>
      <c r="D1279">
        <v>-3752.44</v>
      </c>
    </row>
    <row r="1280" spans="1:4" x14ac:dyDescent="0.25">
      <c r="A1280" t="s">
        <v>416</v>
      </c>
      <c r="B1280" t="s">
        <v>100</v>
      </c>
      <c r="C1280" s="2">
        <f>HYPERLINK("https://sao.dolgi.msk.ru/account/1404184859/", 1404184859)</f>
        <v>1404184859</v>
      </c>
      <c r="D1280">
        <v>603.45000000000005</v>
      </c>
    </row>
    <row r="1281" spans="1:4" x14ac:dyDescent="0.25">
      <c r="A1281" t="s">
        <v>416</v>
      </c>
      <c r="B1281" t="s">
        <v>100</v>
      </c>
      <c r="C1281" s="2">
        <f>HYPERLINK("https://sao.dolgi.msk.ru/account/1404184867/", 1404184867)</f>
        <v>1404184867</v>
      </c>
      <c r="D1281">
        <v>201.15</v>
      </c>
    </row>
    <row r="1282" spans="1:4" hidden="1" x14ac:dyDescent="0.25">
      <c r="A1282" t="s">
        <v>416</v>
      </c>
      <c r="B1282" t="s">
        <v>101</v>
      </c>
      <c r="C1282" s="2">
        <f>HYPERLINK("https://sao.dolgi.msk.ru/account/1404184875/", 1404184875)</f>
        <v>1404184875</v>
      </c>
      <c r="D1282">
        <v>-4649.8100000000004</v>
      </c>
    </row>
    <row r="1283" spans="1:4" hidden="1" x14ac:dyDescent="0.25">
      <c r="A1283" t="s">
        <v>416</v>
      </c>
      <c r="B1283" t="s">
        <v>102</v>
      </c>
      <c r="C1283" s="2">
        <f>HYPERLINK("https://sao.dolgi.msk.ru/account/1404184314/", 1404184314)</f>
        <v>1404184314</v>
      </c>
      <c r="D1283">
        <v>-5168.49</v>
      </c>
    </row>
    <row r="1284" spans="1:4" hidden="1" x14ac:dyDescent="0.25">
      <c r="A1284" t="s">
        <v>416</v>
      </c>
      <c r="B1284" t="s">
        <v>103</v>
      </c>
      <c r="C1284" s="2">
        <f>HYPERLINK("https://sao.dolgi.msk.ru/account/1404184883/", 1404184883)</f>
        <v>1404184883</v>
      </c>
      <c r="D1284">
        <v>-5662.38</v>
      </c>
    </row>
    <row r="1285" spans="1:4" x14ac:dyDescent="0.25">
      <c r="A1285" t="s">
        <v>416</v>
      </c>
      <c r="B1285" t="s">
        <v>104</v>
      </c>
      <c r="C1285" s="2">
        <f>HYPERLINK("https://sao.dolgi.msk.ru/account/1404185245/", 1404185245)</f>
        <v>1404185245</v>
      </c>
      <c r="D1285">
        <v>23109.62</v>
      </c>
    </row>
    <row r="1286" spans="1:4" hidden="1" x14ac:dyDescent="0.25">
      <c r="A1286" t="s">
        <v>416</v>
      </c>
      <c r="B1286" t="s">
        <v>105</v>
      </c>
      <c r="C1286" s="2">
        <f>HYPERLINK("https://sao.dolgi.msk.ru/account/1404185253/", 1404185253)</f>
        <v>1404185253</v>
      </c>
      <c r="D1286">
        <v>0</v>
      </c>
    </row>
    <row r="1287" spans="1:4" hidden="1" x14ac:dyDescent="0.25">
      <c r="A1287" t="s">
        <v>416</v>
      </c>
      <c r="B1287" t="s">
        <v>106</v>
      </c>
      <c r="C1287" s="2">
        <f>HYPERLINK("https://sao.dolgi.msk.ru/account/1404184808/", 1404184808)</f>
        <v>1404184808</v>
      </c>
      <c r="D1287">
        <v>0</v>
      </c>
    </row>
    <row r="1288" spans="1:4" hidden="1" x14ac:dyDescent="0.25">
      <c r="A1288" t="s">
        <v>416</v>
      </c>
      <c r="B1288" t="s">
        <v>106</v>
      </c>
      <c r="C1288" s="2">
        <f>HYPERLINK("https://sao.dolgi.msk.ru/account/1404185077/", 1404185077)</f>
        <v>1404185077</v>
      </c>
      <c r="D1288">
        <v>0</v>
      </c>
    </row>
    <row r="1289" spans="1:4" hidden="1" x14ac:dyDescent="0.25">
      <c r="A1289" t="s">
        <v>416</v>
      </c>
      <c r="B1289" t="s">
        <v>107</v>
      </c>
      <c r="C1289" s="2">
        <f>HYPERLINK("https://sao.dolgi.msk.ru/account/1404184197/", 1404184197)</f>
        <v>1404184197</v>
      </c>
      <c r="D1289">
        <v>0</v>
      </c>
    </row>
    <row r="1290" spans="1:4" hidden="1" x14ac:dyDescent="0.25">
      <c r="A1290" t="s">
        <v>416</v>
      </c>
      <c r="B1290" t="s">
        <v>108</v>
      </c>
      <c r="C1290" s="2">
        <f>HYPERLINK("https://sao.dolgi.msk.ru/account/1404184218/", 1404184218)</f>
        <v>1404184218</v>
      </c>
      <c r="D1290">
        <v>-2772.66</v>
      </c>
    </row>
    <row r="1291" spans="1:4" hidden="1" x14ac:dyDescent="0.25">
      <c r="A1291" t="s">
        <v>416</v>
      </c>
      <c r="B1291" t="s">
        <v>109</v>
      </c>
      <c r="C1291" s="2">
        <f>HYPERLINK("https://sao.dolgi.msk.ru/account/1404184226/", 1404184226)</f>
        <v>1404184226</v>
      </c>
      <c r="D1291">
        <v>-1955.21</v>
      </c>
    </row>
    <row r="1292" spans="1:4" hidden="1" x14ac:dyDescent="0.25">
      <c r="A1292" t="s">
        <v>416</v>
      </c>
      <c r="B1292" t="s">
        <v>110</v>
      </c>
      <c r="C1292" s="2">
        <f>HYPERLINK("https://sao.dolgi.msk.ru/account/1404184656/", 1404184656)</f>
        <v>1404184656</v>
      </c>
      <c r="D1292">
        <v>0</v>
      </c>
    </row>
    <row r="1293" spans="1:4" x14ac:dyDescent="0.25">
      <c r="A1293" t="s">
        <v>417</v>
      </c>
      <c r="B1293" t="s">
        <v>5</v>
      </c>
      <c r="C1293" s="2">
        <f>HYPERLINK("https://sao.dolgi.msk.ru/account/1404223475/", 1404223475)</f>
        <v>1404223475</v>
      </c>
      <c r="D1293">
        <v>3962.48</v>
      </c>
    </row>
    <row r="1294" spans="1:4" x14ac:dyDescent="0.25">
      <c r="A1294" t="s">
        <v>417</v>
      </c>
      <c r="B1294" t="s">
        <v>6</v>
      </c>
      <c r="C1294" s="2">
        <f>HYPERLINK("https://sao.dolgi.msk.ru/account/1404223678/", 1404223678)</f>
        <v>1404223678</v>
      </c>
      <c r="D1294">
        <v>5900.95</v>
      </c>
    </row>
    <row r="1295" spans="1:4" hidden="1" x14ac:dyDescent="0.25">
      <c r="A1295" t="s">
        <v>417</v>
      </c>
      <c r="B1295" t="s">
        <v>7</v>
      </c>
      <c r="C1295" s="2">
        <f>HYPERLINK("https://sao.dolgi.msk.ru/account/1404223352/", 1404223352)</f>
        <v>1404223352</v>
      </c>
      <c r="D1295">
        <v>-3261.25</v>
      </c>
    </row>
    <row r="1296" spans="1:4" hidden="1" x14ac:dyDescent="0.25">
      <c r="A1296" t="s">
        <v>417</v>
      </c>
      <c r="B1296" t="s">
        <v>8</v>
      </c>
      <c r="C1296" s="2">
        <f>HYPERLINK("https://sao.dolgi.msk.ru/account/1404223993/", 1404223993)</f>
        <v>1404223993</v>
      </c>
      <c r="D1296">
        <v>0</v>
      </c>
    </row>
    <row r="1297" spans="1:4" hidden="1" x14ac:dyDescent="0.25">
      <c r="A1297" t="s">
        <v>417</v>
      </c>
      <c r="B1297" t="s">
        <v>8</v>
      </c>
      <c r="C1297" s="2">
        <f>HYPERLINK("https://sao.dolgi.msk.ru/account/1404293828/", 1404293828)</f>
        <v>1404293828</v>
      </c>
      <c r="D1297">
        <v>0</v>
      </c>
    </row>
    <row r="1298" spans="1:4" hidden="1" x14ac:dyDescent="0.25">
      <c r="A1298" t="s">
        <v>417</v>
      </c>
      <c r="B1298" t="s">
        <v>9</v>
      </c>
      <c r="C1298" s="2">
        <f>HYPERLINK("https://sao.dolgi.msk.ru/account/1404223715/", 1404223715)</f>
        <v>1404223715</v>
      </c>
      <c r="D1298">
        <v>-3407.63</v>
      </c>
    </row>
    <row r="1299" spans="1:4" hidden="1" x14ac:dyDescent="0.25">
      <c r="A1299" t="s">
        <v>417</v>
      </c>
      <c r="B1299" t="s">
        <v>9</v>
      </c>
      <c r="C1299" s="2">
        <f>HYPERLINK("https://sao.dolgi.msk.ru/account/1404224259/", 1404224259)</f>
        <v>1404224259</v>
      </c>
      <c r="D1299">
        <v>-2915.37</v>
      </c>
    </row>
    <row r="1300" spans="1:4" hidden="1" x14ac:dyDescent="0.25">
      <c r="A1300" t="s">
        <v>417</v>
      </c>
      <c r="B1300" t="s">
        <v>10</v>
      </c>
      <c r="C1300" s="2">
        <f>HYPERLINK("https://sao.dolgi.msk.ru/account/1404224187/", 1404224187)</f>
        <v>1404224187</v>
      </c>
      <c r="D1300">
        <v>-4015</v>
      </c>
    </row>
    <row r="1301" spans="1:4" hidden="1" x14ac:dyDescent="0.25">
      <c r="A1301" t="s">
        <v>417</v>
      </c>
      <c r="B1301" t="s">
        <v>11</v>
      </c>
      <c r="C1301" s="2">
        <f>HYPERLINK("https://sao.dolgi.msk.ru/account/1404223416/", 1404223416)</f>
        <v>1404223416</v>
      </c>
      <c r="D1301">
        <v>0</v>
      </c>
    </row>
    <row r="1302" spans="1:4" x14ac:dyDescent="0.25">
      <c r="A1302" t="s">
        <v>417</v>
      </c>
      <c r="B1302" t="s">
        <v>12</v>
      </c>
      <c r="C1302" s="2">
        <f>HYPERLINK("https://sao.dolgi.msk.ru/account/1404223264/", 1404223264)</f>
        <v>1404223264</v>
      </c>
      <c r="D1302">
        <v>1284</v>
      </c>
    </row>
    <row r="1303" spans="1:4" hidden="1" x14ac:dyDescent="0.25">
      <c r="A1303" t="s">
        <v>417</v>
      </c>
      <c r="B1303" t="s">
        <v>13</v>
      </c>
      <c r="C1303" s="2">
        <f>HYPERLINK("https://sao.dolgi.msk.ru/account/1404224486/", 1404224486)</f>
        <v>1404224486</v>
      </c>
      <c r="D1303">
        <v>-4305.4799999999996</v>
      </c>
    </row>
    <row r="1304" spans="1:4" hidden="1" x14ac:dyDescent="0.25">
      <c r="A1304" t="s">
        <v>417</v>
      </c>
      <c r="B1304" t="s">
        <v>14</v>
      </c>
      <c r="C1304" s="2">
        <f>HYPERLINK("https://sao.dolgi.msk.ru/account/1404224099/", 1404224099)</f>
        <v>1404224099</v>
      </c>
      <c r="D1304">
        <v>-4397.87</v>
      </c>
    </row>
    <row r="1305" spans="1:4" hidden="1" x14ac:dyDescent="0.25">
      <c r="A1305" t="s">
        <v>417</v>
      </c>
      <c r="B1305" t="s">
        <v>15</v>
      </c>
      <c r="C1305" s="2">
        <f>HYPERLINK("https://sao.dolgi.msk.ru/account/1404223117/", 1404223117)</f>
        <v>1404223117</v>
      </c>
      <c r="D1305">
        <v>-3928.41</v>
      </c>
    </row>
    <row r="1306" spans="1:4" x14ac:dyDescent="0.25">
      <c r="A1306" t="s">
        <v>417</v>
      </c>
      <c r="B1306" t="s">
        <v>16</v>
      </c>
      <c r="C1306" s="2">
        <f>HYPERLINK("https://sao.dolgi.msk.ru/account/1404223176/", 1404223176)</f>
        <v>1404223176</v>
      </c>
      <c r="D1306">
        <v>5704.67</v>
      </c>
    </row>
    <row r="1307" spans="1:4" hidden="1" x14ac:dyDescent="0.25">
      <c r="A1307" t="s">
        <v>417</v>
      </c>
      <c r="B1307" t="s">
        <v>17</v>
      </c>
      <c r="C1307" s="2">
        <f>HYPERLINK("https://sao.dolgi.msk.ru/account/1404223096/", 1404223096)</f>
        <v>1404223096</v>
      </c>
      <c r="D1307">
        <v>0</v>
      </c>
    </row>
    <row r="1308" spans="1:4" hidden="1" x14ac:dyDescent="0.25">
      <c r="A1308" t="s">
        <v>417</v>
      </c>
      <c r="B1308" t="s">
        <v>18</v>
      </c>
      <c r="C1308" s="2">
        <f>HYPERLINK("https://sao.dolgi.msk.ru/account/1404223467/", 1404223467)</f>
        <v>1404223467</v>
      </c>
      <c r="D1308">
        <v>-4178.33</v>
      </c>
    </row>
    <row r="1309" spans="1:4" hidden="1" x14ac:dyDescent="0.25">
      <c r="A1309" t="s">
        <v>417</v>
      </c>
      <c r="B1309" t="s">
        <v>19</v>
      </c>
      <c r="C1309" s="2">
        <f>HYPERLINK("https://sao.dolgi.msk.ru/account/1404224558/", 1404224558)</f>
        <v>1404224558</v>
      </c>
      <c r="D1309">
        <v>-752.73</v>
      </c>
    </row>
    <row r="1310" spans="1:4" x14ac:dyDescent="0.25">
      <c r="A1310" t="s">
        <v>417</v>
      </c>
      <c r="B1310" t="s">
        <v>20</v>
      </c>
      <c r="C1310" s="2">
        <f>HYPERLINK("https://sao.dolgi.msk.ru/account/1404224283/", 1404224283)</f>
        <v>1404224283</v>
      </c>
      <c r="D1310">
        <v>19253.080000000002</v>
      </c>
    </row>
    <row r="1311" spans="1:4" x14ac:dyDescent="0.25">
      <c r="A1311" t="s">
        <v>417</v>
      </c>
      <c r="B1311" t="s">
        <v>21</v>
      </c>
      <c r="C1311" s="2">
        <f>HYPERLINK("https://sao.dolgi.msk.ru/account/1404223328/", 1404223328)</f>
        <v>1404223328</v>
      </c>
      <c r="D1311">
        <v>266.01</v>
      </c>
    </row>
    <row r="1312" spans="1:4" x14ac:dyDescent="0.25">
      <c r="A1312" t="s">
        <v>417</v>
      </c>
      <c r="B1312" t="s">
        <v>22</v>
      </c>
      <c r="C1312" s="2">
        <f>HYPERLINK("https://sao.dolgi.msk.ru/account/1404223942/", 1404223942)</f>
        <v>1404223942</v>
      </c>
      <c r="D1312">
        <v>3039.36</v>
      </c>
    </row>
    <row r="1313" spans="1:4" x14ac:dyDescent="0.25">
      <c r="A1313" t="s">
        <v>417</v>
      </c>
      <c r="B1313" t="s">
        <v>22</v>
      </c>
      <c r="C1313" s="2">
        <f>HYPERLINK("https://sao.dolgi.msk.ru/account/1404224021/", 1404224021)</f>
        <v>1404224021</v>
      </c>
      <c r="D1313">
        <v>2779.36</v>
      </c>
    </row>
    <row r="1314" spans="1:4" hidden="1" x14ac:dyDescent="0.25">
      <c r="A1314" t="s">
        <v>417</v>
      </c>
      <c r="B1314" t="s">
        <v>23</v>
      </c>
      <c r="C1314" s="2">
        <f>HYPERLINK("https://sao.dolgi.msk.ru/account/1404223969/", 1404223969)</f>
        <v>1404223969</v>
      </c>
      <c r="D1314">
        <v>-5414.86</v>
      </c>
    </row>
    <row r="1315" spans="1:4" hidden="1" x14ac:dyDescent="0.25">
      <c r="A1315" t="s">
        <v>417</v>
      </c>
      <c r="B1315" t="s">
        <v>24</v>
      </c>
      <c r="C1315" s="2">
        <f>HYPERLINK("https://sao.dolgi.msk.ru/account/1404223977/", 1404223977)</f>
        <v>1404223977</v>
      </c>
      <c r="D1315">
        <v>0</v>
      </c>
    </row>
    <row r="1316" spans="1:4" hidden="1" x14ac:dyDescent="0.25">
      <c r="A1316" t="s">
        <v>417</v>
      </c>
      <c r="B1316" t="s">
        <v>25</v>
      </c>
      <c r="C1316" s="2">
        <f>HYPERLINK("https://sao.dolgi.msk.ru/account/1404222958/", 1404222958)</f>
        <v>1404222958</v>
      </c>
      <c r="D1316">
        <v>0</v>
      </c>
    </row>
    <row r="1317" spans="1:4" hidden="1" x14ac:dyDescent="0.25">
      <c r="A1317" t="s">
        <v>417</v>
      </c>
      <c r="B1317" t="s">
        <v>26</v>
      </c>
      <c r="C1317" s="2">
        <f>HYPERLINK("https://sao.dolgi.msk.ru/account/1404224419/", 1404224419)</f>
        <v>1404224419</v>
      </c>
      <c r="D1317">
        <v>-1982.48</v>
      </c>
    </row>
    <row r="1318" spans="1:4" hidden="1" x14ac:dyDescent="0.25">
      <c r="A1318" t="s">
        <v>417</v>
      </c>
      <c r="B1318" t="s">
        <v>27</v>
      </c>
      <c r="C1318" s="2">
        <f>HYPERLINK("https://sao.dolgi.msk.ru/account/1404223766/", 1404223766)</f>
        <v>1404223766</v>
      </c>
      <c r="D1318">
        <v>-7592.38</v>
      </c>
    </row>
    <row r="1319" spans="1:4" hidden="1" x14ac:dyDescent="0.25">
      <c r="A1319" t="s">
        <v>417</v>
      </c>
      <c r="B1319" t="s">
        <v>28</v>
      </c>
      <c r="C1319" s="2">
        <f>HYPERLINK("https://sao.dolgi.msk.ru/account/1404224427/", 1404224427)</f>
        <v>1404224427</v>
      </c>
      <c r="D1319">
        <v>-776.52</v>
      </c>
    </row>
    <row r="1320" spans="1:4" hidden="1" x14ac:dyDescent="0.25">
      <c r="A1320" t="s">
        <v>417</v>
      </c>
      <c r="B1320" t="s">
        <v>29</v>
      </c>
      <c r="C1320" s="2">
        <f>HYPERLINK("https://sao.dolgi.msk.ru/account/1404224208/", 1404224208)</f>
        <v>1404224208</v>
      </c>
      <c r="D1320">
        <v>-540.69000000000005</v>
      </c>
    </row>
    <row r="1321" spans="1:4" hidden="1" x14ac:dyDescent="0.25">
      <c r="A1321" t="s">
        <v>417</v>
      </c>
      <c r="B1321" t="s">
        <v>30</v>
      </c>
      <c r="C1321" s="2">
        <f>HYPERLINK("https://sao.dolgi.msk.ru/account/1404223336/", 1404223336)</f>
        <v>1404223336</v>
      </c>
      <c r="D1321">
        <v>-5791.17</v>
      </c>
    </row>
    <row r="1322" spans="1:4" hidden="1" x14ac:dyDescent="0.25">
      <c r="A1322" t="s">
        <v>417</v>
      </c>
      <c r="B1322" t="s">
        <v>31</v>
      </c>
      <c r="C1322" s="2">
        <f>HYPERLINK("https://sao.dolgi.msk.ru/account/1404223424/", 1404223424)</f>
        <v>1404223424</v>
      </c>
      <c r="D1322">
        <v>-7430.15</v>
      </c>
    </row>
    <row r="1323" spans="1:4" x14ac:dyDescent="0.25">
      <c r="A1323" t="s">
        <v>417</v>
      </c>
      <c r="B1323" t="s">
        <v>32</v>
      </c>
      <c r="C1323" s="2">
        <f>HYPERLINK("https://sao.dolgi.msk.ru/account/1404224435/", 1404224435)</f>
        <v>1404224435</v>
      </c>
      <c r="D1323">
        <v>3470.22</v>
      </c>
    </row>
    <row r="1324" spans="1:4" x14ac:dyDescent="0.25">
      <c r="A1324" t="s">
        <v>417</v>
      </c>
      <c r="B1324" t="s">
        <v>33</v>
      </c>
      <c r="C1324" s="2">
        <f>HYPERLINK("https://sao.dolgi.msk.ru/account/1404223344/", 1404223344)</f>
        <v>1404223344</v>
      </c>
      <c r="D1324">
        <v>29371.33</v>
      </c>
    </row>
    <row r="1325" spans="1:4" hidden="1" x14ac:dyDescent="0.25">
      <c r="A1325" t="s">
        <v>417</v>
      </c>
      <c r="B1325" t="s">
        <v>34</v>
      </c>
      <c r="C1325" s="2">
        <f>HYPERLINK("https://sao.dolgi.msk.ru/account/1404223168/", 1404223168)</f>
        <v>1404223168</v>
      </c>
      <c r="D1325">
        <v>-542.04</v>
      </c>
    </row>
    <row r="1326" spans="1:4" x14ac:dyDescent="0.25">
      <c r="A1326" t="s">
        <v>417</v>
      </c>
      <c r="B1326" t="s">
        <v>35</v>
      </c>
      <c r="C1326" s="2">
        <f>HYPERLINK("https://sao.dolgi.msk.ru/account/1404223774/", 1404223774)</f>
        <v>1404223774</v>
      </c>
      <c r="D1326">
        <v>1405.66</v>
      </c>
    </row>
    <row r="1327" spans="1:4" hidden="1" x14ac:dyDescent="0.25">
      <c r="A1327" t="s">
        <v>417</v>
      </c>
      <c r="B1327" t="s">
        <v>36</v>
      </c>
      <c r="C1327" s="2">
        <f>HYPERLINK("https://sao.dolgi.msk.ru/account/1404223547/", 1404223547)</f>
        <v>1404223547</v>
      </c>
      <c r="D1327">
        <v>-5593.33</v>
      </c>
    </row>
    <row r="1328" spans="1:4" x14ac:dyDescent="0.25">
      <c r="A1328" t="s">
        <v>417</v>
      </c>
      <c r="B1328" t="s">
        <v>37</v>
      </c>
      <c r="C1328" s="2">
        <f>HYPERLINK("https://sao.dolgi.msk.ru/account/1404222982/", 1404222982)</f>
        <v>1404222982</v>
      </c>
      <c r="D1328">
        <v>680.62</v>
      </c>
    </row>
    <row r="1329" spans="1:4" hidden="1" x14ac:dyDescent="0.25">
      <c r="A1329" t="s">
        <v>417</v>
      </c>
      <c r="B1329" t="s">
        <v>38</v>
      </c>
      <c r="C1329" s="2">
        <f>HYPERLINK("https://sao.dolgi.msk.ru/account/1404223985/", 1404223985)</f>
        <v>1404223985</v>
      </c>
      <c r="D1329">
        <v>-4305.3900000000003</v>
      </c>
    </row>
    <row r="1330" spans="1:4" hidden="1" x14ac:dyDescent="0.25">
      <c r="A1330" t="s">
        <v>417</v>
      </c>
      <c r="B1330" t="s">
        <v>39</v>
      </c>
      <c r="C1330" s="2">
        <f>HYPERLINK("https://sao.dolgi.msk.ru/account/1404222966/", 1404222966)</f>
        <v>1404222966</v>
      </c>
      <c r="D1330">
        <v>-1503.24</v>
      </c>
    </row>
    <row r="1331" spans="1:4" hidden="1" x14ac:dyDescent="0.25">
      <c r="A1331" t="s">
        <v>417</v>
      </c>
      <c r="B1331" t="s">
        <v>40</v>
      </c>
      <c r="C1331" s="2">
        <f>HYPERLINK("https://sao.dolgi.msk.ru/account/1404223379/", 1404223379)</f>
        <v>1404223379</v>
      </c>
      <c r="D1331">
        <v>-4868.9799999999996</v>
      </c>
    </row>
    <row r="1332" spans="1:4" x14ac:dyDescent="0.25">
      <c r="A1332" t="s">
        <v>417</v>
      </c>
      <c r="B1332" t="s">
        <v>41</v>
      </c>
      <c r="C1332" s="2">
        <f>HYPERLINK("https://sao.dolgi.msk.ru/account/1404223555/", 1404223555)</f>
        <v>1404223555</v>
      </c>
      <c r="D1332">
        <v>3323.7</v>
      </c>
    </row>
    <row r="1333" spans="1:4" hidden="1" x14ac:dyDescent="0.25">
      <c r="A1333" t="s">
        <v>417</v>
      </c>
      <c r="B1333" t="s">
        <v>42</v>
      </c>
      <c r="C1333" s="2">
        <f>HYPERLINK("https://sao.dolgi.msk.ru/account/1404222974/", 1404222974)</f>
        <v>1404222974</v>
      </c>
      <c r="D1333">
        <v>-32.17</v>
      </c>
    </row>
    <row r="1334" spans="1:4" hidden="1" x14ac:dyDescent="0.25">
      <c r="A1334" t="s">
        <v>417</v>
      </c>
      <c r="B1334" t="s">
        <v>43</v>
      </c>
      <c r="C1334" s="2">
        <f>HYPERLINK("https://sao.dolgi.msk.ru/account/1404223387/", 1404223387)</f>
        <v>1404223387</v>
      </c>
      <c r="D1334">
        <v>-3350.75</v>
      </c>
    </row>
    <row r="1335" spans="1:4" hidden="1" x14ac:dyDescent="0.25">
      <c r="A1335" t="s">
        <v>417</v>
      </c>
      <c r="B1335" t="s">
        <v>44</v>
      </c>
      <c r="C1335" s="2">
        <f>HYPERLINK("https://sao.dolgi.msk.ru/account/1404222907/", 1404222907)</f>
        <v>1404222907</v>
      </c>
      <c r="D1335">
        <v>-1516.23</v>
      </c>
    </row>
    <row r="1336" spans="1:4" hidden="1" x14ac:dyDescent="0.25">
      <c r="A1336" t="s">
        <v>417</v>
      </c>
      <c r="B1336" t="s">
        <v>44</v>
      </c>
      <c r="C1336" s="2">
        <f>HYPERLINK("https://sao.dolgi.msk.ru/account/1404223686/", 1404223686)</f>
        <v>1404223686</v>
      </c>
      <c r="D1336">
        <v>-6467.04</v>
      </c>
    </row>
    <row r="1337" spans="1:4" hidden="1" x14ac:dyDescent="0.25">
      <c r="A1337" t="s">
        <v>417</v>
      </c>
      <c r="B1337" t="s">
        <v>45</v>
      </c>
      <c r="C1337" s="2">
        <f>HYPERLINK("https://sao.dolgi.msk.ru/account/1404223539/", 1404223539)</f>
        <v>1404223539</v>
      </c>
      <c r="D1337">
        <v>0</v>
      </c>
    </row>
    <row r="1338" spans="1:4" hidden="1" x14ac:dyDescent="0.25">
      <c r="A1338" t="s">
        <v>417</v>
      </c>
      <c r="B1338" t="s">
        <v>46</v>
      </c>
      <c r="C1338" s="2">
        <f>HYPERLINK("https://sao.dolgi.msk.ru/account/1404224136/", 1404224136)</f>
        <v>1404224136</v>
      </c>
      <c r="D1338">
        <v>-4451.2299999999996</v>
      </c>
    </row>
    <row r="1339" spans="1:4" hidden="1" x14ac:dyDescent="0.25">
      <c r="A1339" t="s">
        <v>417</v>
      </c>
      <c r="B1339" t="s">
        <v>47</v>
      </c>
      <c r="C1339" s="2">
        <f>HYPERLINK("https://sao.dolgi.msk.ru/account/1404224144/", 1404224144)</f>
        <v>1404224144</v>
      </c>
      <c r="D1339">
        <v>-4887.37</v>
      </c>
    </row>
    <row r="1340" spans="1:4" hidden="1" x14ac:dyDescent="0.25">
      <c r="A1340" t="s">
        <v>417</v>
      </c>
      <c r="B1340" t="s">
        <v>48</v>
      </c>
      <c r="C1340" s="2">
        <f>HYPERLINK("https://sao.dolgi.msk.ru/account/1404224152/", 1404224152)</f>
        <v>1404224152</v>
      </c>
      <c r="D1340">
        <v>-748.57</v>
      </c>
    </row>
    <row r="1341" spans="1:4" hidden="1" x14ac:dyDescent="0.25">
      <c r="A1341" t="s">
        <v>417</v>
      </c>
      <c r="B1341" t="s">
        <v>49</v>
      </c>
      <c r="C1341" s="2">
        <f>HYPERLINK("https://sao.dolgi.msk.ru/account/1404223272/", 1404223272)</f>
        <v>1404223272</v>
      </c>
      <c r="D1341">
        <v>-5143.84</v>
      </c>
    </row>
    <row r="1342" spans="1:4" hidden="1" x14ac:dyDescent="0.25">
      <c r="A1342" t="s">
        <v>417</v>
      </c>
      <c r="B1342" t="s">
        <v>50</v>
      </c>
      <c r="C1342" s="2">
        <f>HYPERLINK("https://sao.dolgi.msk.ru/account/1404223125/", 1404223125)</f>
        <v>1404223125</v>
      </c>
      <c r="D1342">
        <v>-537.91</v>
      </c>
    </row>
    <row r="1343" spans="1:4" x14ac:dyDescent="0.25">
      <c r="A1343" t="s">
        <v>417</v>
      </c>
      <c r="B1343" t="s">
        <v>51</v>
      </c>
      <c r="C1343" s="2">
        <f>HYPERLINK("https://sao.dolgi.msk.ru/account/1404223918/", 1404223918)</f>
        <v>1404223918</v>
      </c>
      <c r="D1343">
        <v>1286.4100000000001</v>
      </c>
    </row>
    <row r="1344" spans="1:4" x14ac:dyDescent="0.25">
      <c r="A1344" t="s">
        <v>417</v>
      </c>
      <c r="B1344" t="s">
        <v>52</v>
      </c>
      <c r="C1344" s="2">
        <f>HYPERLINK("https://sao.dolgi.msk.ru/account/1404223694/", 1404223694)</f>
        <v>1404223694</v>
      </c>
      <c r="D1344">
        <v>17627</v>
      </c>
    </row>
    <row r="1345" spans="1:4" x14ac:dyDescent="0.25">
      <c r="A1345" t="s">
        <v>417</v>
      </c>
      <c r="B1345" t="s">
        <v>53</v>
      </c>
      <c r="C1345" s="2">
        <f>HYPERLINK("https://sao.dolgi.msk.ru/account/1404223707/", 1404223707)</f>
        <v>1404223707</v>
      </c>
      <c r="D1345">
        <v>386.77</v>
      </c>
    </row>
    <row r="1346" spans="1:4" x14ac:dyDescent="0.25">
      <c r="A1346" t="s">
        <v>417</v>
      </c>
      <c r="B1346" t="s">
        <v>54</v>
      </c>
      <c r="C1346" s="2">
        <f>HYPERLINK("https://sao.dolgi.msk.ru/account/1404224179/", 1404224179)</f>
        <v>1404224179</v>
      </c>
      <c r="D1346">
        <v>25753.439999999999</v>
      </c>
    </row>
    <row r="1347" spans="1:4" hidden="1" x14ac:dyDescent="0.25">
      <c r="A1347" t="s">
        <v>417</v>
      </c>
      <c r="B1347" t="s">
        <v>55</v>
      </c>
      <c r="C1347" s="2">
        <f>HYPERLINK("https://sao.dolgi.msk.ru/account/1404224363/", 1404224363)</f>
        <v>1404224363</v>
      </c>
      <c r="D1347">
        <v>-9598.31</v>
      </c>
    </row>
    <row r="1348" spans="1:4" x14ac:dyDescent="0.25">
      <c r="A1348" t="s">
        <v>417</v>
      </c>
      <c r="B1348" t="s">
        <v>56</v>
      </c>
      <c r="C1348" s="2">
        <f>HYPERLINK("https://sao.dolgi.msk.ru/account/1404223723/", 1404223723)</f>
        <v>1404223723</v>
      </c>
      <c r="D1348">
        <v>26605.119999999999</v>
      </c>
    </row>
    <row r="1349" spans="1:4" x14ac:dyDescent="0.25">
      <c r="A1349" t="s">
        <v>417</v>
      </c>
      <c r="B1349" t="s">
        <v>57</v>
      </c>
      <c r="C1349" s="2">
        <f>HYPERLINK("https://sao.dolgi.msk.ru/account/1404222915/", 1404222915)</f>
        <v>1404222915</v>
      </c>
      <c r="D1349">
        <v>14425.83</v>
      </c>
    </row>
    <row r="1350" spans="1:4" hidden="1" x14ac:dyDescent="0.25">
      <c r="A1350" t="s">
        <v>417</v>
      </c>
      <c r="B1350" t="s">
        <v>58</v>
      </c>
      <c r="C1350" s="2">
        <f>HYPERLINK("https://sao.dolgi.msk.ru/account/1404222923/", 1404222923)</f>
        <v>1404222923</v>
      </c>
      <c r="D1350">
        <v>0</v>
      </c>
    </row>
    <row r="1351" spans="1:4" hidden="1" x14ac:dyDescent="0.25">
      <c r="A1351" t="s">
        <v>417</v>
      </c>
      <c r="B1351" t="s">
        <v>59</v>
      </c>
      <c r="C1351" s="2">
        <f>HYPERLINK("https://sao.dolgi.msk.ru/account/1404223926/", 1404223926)</f>
        <v>1404223926</v>
      </c>
      <c r="D1351">
        <v>-752.73</v>
      </c>
    </row>
    <row r="1352" spans="1:4" hidden="1" x14ac:dyDescent="0.25">
      <c r="A1352" t="s">
        <v>417</v>
      </c>
      <c r="B1352" t="s">
        <v>60</v>
      </c>
      <c r="C1352" s="2">
        <f>HYPERLINK("https://sao.dolgi.msk.ru/account/1404223731/", 1404223731)</f>
        <v>1404223731</v>
      </c>
      <c r="D1352">
        <v>-4610.17</v>
      </c>
    </row>
    <row r="1353" spans="1:4" hidden="1" x14ac:dyDescent="0.25">
      <c r="A1353" t="s">
        <v>417</v>
      </c>
      <c r="B1353" t="s">
        <v>61</v>
      </c>
      <c r="C1353" s="2">
        <f>HYPERLINK("https://sao.dolgi.msk.ru/account/1404223299/", 1404223299)</f>
        <v>1404223299</v>
      </c>
      <c r="D1353">
        <v>-5200.5200000000004</v>
      </c>
    </row>
    <row r="1354" spans="1:4" x14ac:dyDescent="0.25">
      <c r="A1354" t="s">
        <v>417</v>
      </c>
      <c r="B1354" t="s">
        <v>62</v>
      </c>
      <c r="C1354" s="2">
        <f>HYPERLINK("https://sao.dolgi.msk.ru/account/1404222931/", 1404222931)</f>
        <v>1404222931</v>
      </c>
      <c r="D1354">
        <v>37287.97</v>
      </c>
    </row>
    <row r="1355" spans="1:4" hidden="1" x14ac:dyDescent="0.25">
      <c r="A1355" t="s">
        <v>417</v>
      </c>
      <c r="B1355" t="s">
        <v>63</v>
      </c>
      <c r="C1355" s="2">
        <f>HYPERLINK("https://sao.dolgi.msk.ru/account/1404224371/", 1404224371)</f>
        <v>1404224371</v>
      </c>
      <c r="D1355">
        <v>-4623.1899999999996</v>
      </c>
    </row>
    <row r="1356" spans="1:4" hidden="1" x14ac:dyDescent="0.25">
      <c r="A1356" t="s">
        <v>417</v>
      </c>
      <c r="B1356" t="s">
        <v>64</v>
      </c>
      <c r="C1356" s="2">
        <f>HYPERLINK("https://sao.dolgi.msk.ru/account/1404223395/", 1404223395)</f>
        <v>1404223395</v>
      </c>
      <c r="D1356">
        <v>-256.52</v>
      </c>
    </row>
    <row r="1357" spans="1:4" hidden="1" x14ac:dyDescent="0.25">
      <c r="A1357" t="s">
        <v>417</v>
      </c>
      <c r="B1357" t="s">
        <v>65</v>
      </c>
      <c r="C1357" s="2">
        <f>HYPERLINK("https://sao.dolgi.msk.ru/account/1404224224/", 1404224224)</f>
        <v>1404224224</v>
      </c>
      <c r="D1357">
        <v>-4861.8599999999997</v>
      </c>
    </row>
    <row r="1358" spans="1:4" hidden="1" x14ac:dyDescent="0.25">
      <c r="A1358" t="s">
        <v>417</v>
      </c>
      <c r="B1358" t="s">
        <v>66</v>
      </c>
      <c r="C1358" s="2">
        <f>HYPERLINK("https://sao.dolgi.msk.ru/account/1404223408/", 1404223408)</f>
        <v>1404223408</v>
      </c>
      <c r="D1358">
        <v>-3830.87</v>
      </c>
    </row>
    <row r="1359" spans="1:4" hidden="1" x14ac:dyDescent="0.25">
      <c r="A1359" t="s">
        <v>417</v>
      </c>
      <c r="B1359" t="s">
        <v>67</v>
      </c>
      <c r="C1359" s="2">
        <f>HYPERLINK("https://sao.dolgi.msk.ru/account/1404223002/", 1404223002)</f>
        <v>1404223002</v>
      </c>
      <c r="D1359">
        <v>-4853.88</v>
      </c>
    </row>
    <row r="1360" spans="1:4" hidden="1" x14ac:dyDescent="0.25">
      <c r="A1360" t="s">
        <v>417</v>
      </c>
      <c r="B1360" t="s">
        <v>68</v>
      </c>
      <c r="C1360" s="2">
        <f>HYPERLINK("https://sao.dolgi.msk.ru/account/1404223782/", 1404223782)</f>
        <v>1404223782</v>
      </c>
      <c r="D1360">
        <v>-4627.83</v>
      </c>
    </row>
    <row r="1361" spans="1:4" hidden="1" x14ac:dyDescent="0.25">
      <c r="A1361" t="s">
        <v>417</v>
      </c>
      <c r="B1361" t="s">
        <v>69</v>
      </c>
      <c r="C1361" s="2">
        <f>HYPERLINK("https://sao.dolgi.msk.ru/account/1404223563/", 1404223563)</f>
        <v>1404223563</v>
      </c>
      <c r="D1361">
        <v>0</v>
      </c>
    </row>
    <row r="1362" spans="1:4" hidden="1" x14ac:dyDescent="0.25">
      <c r="A1362" t="s">
        <v>417</v>
      </c>
      <c r="B1362" t="s">
        <v>70</v>
      </c>
      <c r="C1362" s="2">
        <f>HYPERLINK("https://sao.dolgi.msk.ru/account/1404224013/", 1404224013)</f>
        <v>1404224013</v>
      </c>
      <c r="D1362">
        <v>0</v>
      </c>
    </row>
    <row r="1363" spans="1:4" hidden="1" x14ac:dyDescent="0.25">
      <c r="A1363" t="s">
        <v>417</v>
      </c>
      <c r="B1363" t="s">
        <v>71</v>
      </c>
      <c r="C1363" s="2">
        <f>HYPERLINK("https://sao.dolgi.msk.ru/account/1404223803/", 1404223803)</f>
        <v>1404223803</v>
      </c>
      <c r="D1363">
        <v>0</v>
      </c>
    </row>
    <row r="1364" spans="1:4" x14ac:dyDescent="0.25">
      <c r="A1364" t="s">
        <v>417</v>
      </c>
      <c r="B1364" t="s">
        <v>72</v>
      </c>
      <c r="C1364" s="2">
        <f>HYPERLINK("https://sao.dolgi.msk.ru/account/1404223029/", 1404223029)</f>
        <v>1404223029</v>
      </c>
      <c r="D1364">
        <v>59926.400000000001</v>
      </c>
    </row>
    <row r="1365" spans="1:4" x14ac:dyDescent="0.25">
      <c r="A1365" t="s">
        <v>417</v>
      </c>
      <c r="B1365" t="s">
        <v>73</v>
      </c>
      <c r="C1365" s="2">
        <f>HYPERLINK("https://sao.dolgi.msk.ru/account/1404223571/", 1404223571)</f>
        <v>1404223571</v>
      </c>
      <c r="D1365">
        <v>22203.119999999999</v>
      </c>
    </row>
    <row r="1366" spans="1:4" hidden="1" x14ac:dyDescent="0.25">
      <c r="A1366" t="s">
        <v>417</v>
      </c>
      <c r="B1366" t="s">
        <v>74</v>
      </c>
      <c r="C1366" s="2">
        <f>HYPERLINK("https://sao.dolgi.msk.ru/account/1404224443/", 1404224443)</f>
        <v>1404224443</v>
      </c>
      <c r="D1366">
        <v>-4728.8500000000004</v>
      </c>
    </row>
    <row r="1367" spans="1:4" hidden="1" x14ac:dyDescent="0.25">
      <c r="A1367" t="s">
        <v>417</v>
      </c>
      <c r="B1367" t="s">
        <v>75</v>
      </c>
      <c r="C1367" s="2">
        <f>HYPERLINK("https://sao.dolgi.msk.ru/account/1404224232/", 1404224232)</f>
        <v>1404224232</v>
      </c>
      <c r="D1367">
        <v>-9145.6299999999992</v>
      </c>
    </row>
    <row r="1368" spans="1:4" hidden="1" x14ac:dyDescent="0.25">
      <c r="A1368" t="s">
        <v>417</v>
      </c>
      <c r="B1368" t="s">
        <v>76</v>
      </c>
      <c r="C1368" s="2">
        <f>HYPERLINK("https://sao.dolgi.msk.ru/account/1404223598/", 1404223598)</f>
        <v>1404223598</v>
      </c>
      <c r="D1368">
        <v>-3668.33</v>
      </c>
    </row>
    <row r="1369" spans="1:4" x14ac:dyDescent="0.25">
      <c r="A1369" t="s">
        <v>417</v>
      </c>
      <c r="B1369" t="s">
        <v>77</v>
      </c>
      <c r="C1369" s="2">
        <f>HYPERLINK("https://sao.dolgi.msk.ru/account/1404224291/", 1404224291)</f>
        <v>1404224291</v>
      </c>
      <c r="D1369">
        <v>97957.61</v>
      </c>
    </row>
    <row r="1370" spans="1:4" hidden="1" x14ac:dyDescent="0.25">
      <c r="A1370" t="s">
        <v>417</v>
      </c>
      <c r="B1370" t="s">
        <v>78</v>
      </c>
      <c r="C1370" s="2">
        <f>HYPERLINK("https://sao.dolgi.msk.ru/account/1404224304/", 1404224304)</f>
        <v>1404224304</v>
      </c>
      <c r="D1370">
        <v>-4528.5</v>
      </c>
    </row>
    <row r="1371" spans="1:4" hidden="1" x14ac:dyDescent="0.25">
      <c r="A1371" t="s">
        <v>417</v>
      </c>
      <c r="B1371" t="s">
        <v>79</v>
      </c>
      <c r="C1371" s="2">
        <f>HYPERLINK("https://sao.dolgi.msk.ru/account/1404223061/", 1404223061)</f>
        <v>1404223061</v>
      </c>
      <c r="D1371">
        <v>0</v>
      </c>
    </row>
    <row r="1372" spans="1:4" hidden="1" x14ac:dyDescent="0.25">
      <c r="A1372" t="s">
        <v>417</v>
      </c>
      <c r="B1372" t="s">
        <v>80</v>
      </c>
      <c r="C1372" s="2">
        <f>HYPERLINK("https://sao.dolgi.msk.ru/account/1404223643/", 1404223643)</f>
        <v>1404223643</v>
      </c>
      <c r="D1372">
        <v>-5306.34</v>
      </c>
    </row>
    <row r="1373" spans="1:4" hidden="1" x14ac:dyDescent="0.25">
      <c r="A1373" t="s">
        <v>417</v>
      </c>
      <c r="B1373" t="s">
        <v>81</v>
      </c>
      <c r="C1373" s="2">
        <f>HYPERLINK("https://sao.dolgi.msk.ru/account/1404223221/", 1404223221)</f>
        <v>1404223221</v>
      </c>
      <c r="D1373">
        <v>-3719.3</v>
      </c>
    </row>
    <row r="1374" spans="1:4" hidden="1" x14ac:dyDescent="0.25">
      <c r="A1374" t="s">
        <v>417</v>
      </c>
      <c r="B1374" t="s">
        <v>82</v>
      </c>
      <c r="C1374" s="2">
        <f>HYPERLINK("https://sao.dolgi.msk.ru/account/1404223248/", 1404223248)</f>
        <v>1404223248</v>
      </c>
      <c r="D1374">
        <v>-396.1</v>
      </c>
    </row>
    <row r="1375" spans="1:4" hidden="1" x14ac:dyDescent="0.25">
      <c r="A1375" t="s">
        <v>417</v>
      </c>
      <c r="B1375" t="s">
        <v>83</v>
      </c>
      <c r="C1375" s="2">
        <f>HYPERLINK("https://sao.dolgi.msk.ru/account/1404223256/", 1404223256)</f>
        <v>1404223256</v>
      </c>
      <c r="D1375">
        <v>-4309.05</v>
      </c>
    </row>
    <row r="1376" spans="1:4" hidden="1" x14ac:dyDescent="0.25">
      <c r="A1376" t="s">
        <v>417</v>
      </c>
      <c r="B1376" t="s">
        <v>84</v>
      </c>
      <c r="C1376" s="2">
        <f>HYPERLINK("https://sao.dolgi.msk.ru/account/1404223651/", 1404223651)</f>
        <v>1404223651</v>
      </c>
      <c r="D1376">
        <v>-4292.18</v>
      </c>
    </row>
    <row r="1377" spans="1:4" x14ac:dyDescent="0.25">
      <c r="A1377" t="s">
        <v>417</v>
      </c>
      <c r="B1377" t="s">
        <v>85</v>
      </c>
      <c r="C1377" s="2">
        <f>HYPERLINK("https://sao.dolgi.msk.ru/account/1404223088/", 1404223088)</f>
        <v>1404223088</v>
      </c>
      <c r="D1377">
        <v>43637.24</v>
      </c>
    </row>
    <row r="1378" spans="1:4" x14ac:dyDescent="0.25">
      <c r="A1378" t="s">
        <v>417</v>
      </c>
      <c r="B1378" t="s">
        <v>86</v>
      </c>
      <c r="C1378" s="2">
        <f>HYPERLINK("https://sao.dolgi.msk.ru/account/1404224312/", 1404224312)</f>
        <v>1404224312</v>
      </c>
      <c r="D1378">
        <v>9162.34</v>
      </c>
    </row>
    <row r="1379" spans="1:4" hidden="1" x14ac:dyDescent="0.25">
      <c r="A1379" t="s">
        <v>417</v>
      </c>
      <c r="B1379" t="s">
        <v>87</v>
      </c>
      <c r="C1379" s="2">
        <f>HYPERLINK("https://sao.dolgi.msk.ru/account/1404223491/", 1404223491)</f>
        <v>1404223491</v>
      </c>
      <c r="D1379">
        <v>-98.8</v>
      </c>
    </row>
    <row r="1380" spans="1:4" hidden="1" x14ac:dyDescent="0.25">
      <c r="A1380" t="s">
        <v>417</v>
      </c>
      <c r="B1380" t="s">
        <v>88</v>
      </c>
      <c r="C1380" s="2">
        <f>HYPERLINK("https://sao.dolgi.msk.ru/account/1404223504/", 1404223504)</f>
        <v>1404223504</v>
      </c>
      <c r="D1380">
        <v>-3531.6</v>
      </c>
    </row>
    <row r="1381" spans="1:4" hidden="1" x14ac:dyDescent="0.25">
      <c r="A1381" t="s">
        <v>417</v>
      </c>
      <c r="B1381" t="s">
        <v>89</v>
      </c>
      <c r="C1381" s="2">
        <f>HYPERLINK("https://sao.dolgi.msk.ru/account/1404224072/", 1404224072)</f>
        <v>1404224072</v>
      </c>
      <c r="D1381">
        <v>0</v>
      </c>
    </row>
    <row r="1382" spans="1:4" x14ac:dyDescent="0.25">
      <c r="A1382" t="s">
        <v>417</v>
      </c>
      <c r="B1382" t="s">
        <v>90</v>
      </c>
      <c r="C1382" s="2">
        <f>HYPERLINK("https://sao.dolgi.msk.ru/account/1404224451/", 1404224451)</f>
        <v>1404224451</v>
      </c>
      <c r="D1382">
        <v>9568.31</v>
      </c>
    </row>
    <row r="1383" spans="1:4" x14ac:dyDescent="0.25">
      <c r="A1383" t="s">
        <v>417</v>
      </c>
      <c r="B1383" t="s">
        <v>91</v>
      </c>
      <c r="C1383" s="2">
        <f>HYPERLINK("https://sao.dolgi.msk.ru/account/1404223619/", 1404223619)</f>
        <v>1404223619</v>
      </c>
      <c r="D1383">
        <v>23109.84</v>
      </c>
    </row>
    <row r="1384" spans="1:4" hidden="1" x14ac:dyDescent="0.25">
      <c r="A1384" t="s">
        <v>417</v>
      </c>
      <c r="B1384" t="s">
        <v>92</v>
      </c>
      <c r="C1384" s="2">
        <f>HYPERLINK("https://sao.dolgi.msk.ru/account/1404223432/", 1404223432)</f>
        <v>1404223432</v>
      </c>
      <c r="D1384">
        <v>-5518.22</v>
      </c>
    </row>
    <row r="1385" spans="1:4" hidden="1" x14ac:dyDescent="0.25">
      <c r="A1385" t="s">
        <v>417</v>
      </c>
      <c r="B1385" t="s">
        <v>93</v>
      </c>
      <c r="C1385" s="2">
        <f>HYPERLINK("https://sao.dolgi.msk.ru/account/1404224478/", 1404224478)</f>
        <v>1404224478</v>
      </c>
      <c r="D1385">
        <v>-990.16</v>
      </c>
    </row>
    <row r="1386" spans="1:4" x14ac:dyDescent="0.25">
      <c r="A1386" t="s">
        <v>417</v>
      </c>
      <c r="B1386" t="s">
        <v>94</v>
      </c>
      <c r="C1386" s="2">
        <f>HYPERLINK("https://sao.dolgi.msk.ru/account/1404224048/", 1404224048)</f>
        <v>1404224048</v>
      </c>
      <c r="D1386">
        <v>26915.72</v>
      </c>
    </row>
    <row r="1387" spans="1:4" hidden="1" x14ac:dyDescent="0.25">
      <c r="A1387" t="s">
        <v>417</v>
      </c>
      <c r="B1387" t="s">
        <v>95</v>
      </c>
      <c r="C1387" s="2">
        <f>HYPERLINK("https://sao.dolgi.msk.ru/account/1404223811/", 1404223811)</f>
        <v>1404223811</v>
      </c>
      <c r="D1387">
        <v>0</v>
      </c>
    </row>
    <row r="1388" spans="1:4" hidden="1" x14ac:dyDescent="0.25">
      <c r="A1388" t="s">
        <v>417</v>
      </c>
      <c r="B1388" t="s">
        <v>96</v>
      </c>
      <c r="C1388" s="2">
        <f>HYPERLINK("https://sao.dolgi.msk.ru/account/1404223037/", 1404223037)</f>
        <v>1404223037</v>
      </c>
      <c r="D1388">
        <v>-3029.5</v>
      </c>
    </row>
    <row r="1389" spans="1:4" hidden="1" x14ac:dyDescent="0.25">
      <c r="A1389" t="s">
        <v>417</v>
      </c>
      <c r="B1389" t="s">
        <v>97</v>
      </c>
      <c r="C1389" s="2">
        <f>HYPERLINK("https://sao.dolgi.msk.ru/account/1404224267/", 1404224267)</f>
        <v>1404224267</v>
      </c>
      <c r="D1389">
        <v>0</v>
      </c>
    </row>
    <row r="1390" spans="1:4" hidden="1" x14ac:dyDescent="0.25">
      <c r="A1390" t="s">
        <v>417</v>
      </c>
      <c r="B1390" t="s">
        <v>98</v>
      </c>
      <c r="C1390" s="2">
        <f>HYPERLINK("https://sao.dolgi.msk.ru/account/1404223045/", 1404223045)</f>
        <v>1404223045</v>
      </c>
      <c r="D1390">
        <v>-4688.6000000000004</v>
      </c>
    </row>
    <row r="1391" spans="1:4" hidden="1" x14ac:dyDescent="0.25">
      <c r="A1391" t="s">
        <v>417</v>
      </c>
      <c r="B1391" t="s">
        <v>99</v>
      </c>
      <c r="C1391" s="2">
        <f>HYPERLINK("https://sao.dolgi.msk.ru/account/1404224494/", 1404224494)</f>
        <v>1404224494</v>
      </c>
      <c r="D1391">
        <v>-3386.22</v>
      </c>
    </row>
    <row r="1392" spans="1:4" hidden="1" x14ac:dyDescent="0.25">
      <c r="A1392" t="s">
        <v>417</v>
      </c>
      <c r="B1392" t="s">
        <v>100</v>
      </c>
      <c r="C1392" s="2">
        <f>HYPERLINK("https://sao.dolgi.msk.ru/account/1404223838/", 1404223838)</f>
        <v>1404223838</v>
      </c>
      <c r="D1392">
        <v>-5336.09</v>
      </c>
    </row>
    <row r="1393" spans="1:4" hidden="1" x14ac:dyDescent="0.25">
      <c r="A1393" t="s">
        <v>417</v>
      </c>
      <c r="B1393" t="s">
        <v>101</v>
      </c>
      <c r="C1393" s="2">
        <f>HYPERLINK("https://sao.dolgi.msk.ru/account/1404224507/", 1404224507)</f>
        <v>1404224507</v>
      </c>
      <c r="D1393">
        <v>-7682.66</v>
      </c>
    </row>
    <row r="1394" spans="1:4" hidden="1" x14ac:dyDescent="0.25">
      <c r="A1394" t="s">
        <v>417</v>
      </c>
      <c r="B1394" t="s">
        <v>102</v>
      </c>
      <c r="C1394" s="2">
        <f>HYPERLINK("https://sao.dolgi.msk.ru/account/1404224216/", 1404224216)</f>
        <v>1404224216</v>
      </c>
      <c r="D1394">
        <v>-558.94000000000005</v>
      </c>
    </row>
    <row r="1395" spans="1:4" hidden="1" x14ac:dyDescent="0.25">
      <c r="A1395" t="s">
        <v>417</v>
      </c>
      <c r="B1395" t="s">
        <v>103</v>
      </c>
      <c r="C1395" s="2">
        <f>HYPERLINK("https://sao.dolgi.msk.ru/account/1404224056/", 1404224056)</f>
        <v>1404224056</v>
      </c>
      <c r="D1395">
        <v>-5188.63</v>
      </c>
    </row>
    <row r="1396" spans="1:4" hidden="1" x14ac:dyDescent="0.25">
      <c r="A1396" t="s">
        <v>417</v>
      </c>
      <c r="B1396" t="s">
        <v>104</v>
      </c>
      <c r="C1396" s="2">
        <f>HYPERLINK("https://sao.dolgi.msk.ru/account/1404224101/", 1404224101)</f>
        <v>1404224101</v>
      </c>
      <c r="D1396">
        <v>0</v>
      </c>
    </row>
    <row r="1397" spans="1:4" hidden="1" x14ac:dyDescent="0.25">
      <c r="A1397" t="s">
        <v>417</v>
      </c>
      <c r="B1397" t="s">
        <v>105</v>
      </c>
      <c r="C1397" s="2">
        <f>HYPERLINK("https://sao.dolgi.msk.ru/account/1404224339/", 1404224339)</f>
        <v>1404224339</v>
      </c>
      <c r="D1397">
        <v>0</v>
      </c>
    </row>
    <row r="1398" spans="1:4" hidden="1" x14ac:dyDescent="0.25">
      <c r="A1398" t="s">
        <v>417</v>
      </c>
      <c r="B1398" t="s">
        <v>106</v>
      </c>
      <c r="C1398" s="2">
        <f>HYPERLINK("https://sao.dolgi.msk.ru/account/1404223109/", 1404223109)</f>
        <v>1404223109</v>
      </c>
      <c r="D1398">
        <v>0</v>
      </c>
    </row>
    <row r="1399" spans="1:4" x14ac:dyDescent="0.25">
      <c r="A1399" t="s">
        <v>417</v>
      </c>
      <c r="B1399" t="s">
        <v>107</v>
      </c>
      <c r="C1399" s="2">
        <f>HYPERLINK("https://sao.dolgi.msk.ru/account/1404222886/", 1404222886)</f>
        <v>1404222886</v>
      </c>
      <c r="D1399">
        <v>11343.65</v>
      </c>
    </row>
    <row r="1400" spans="1:4" hidden="1" x14ac:dyDescent="0.25">
      <c r="A1400" t="s">
        <v>417</v>
      </c>
      <c r="B1400" t="s">
        <v>108</v>
      </c>
      <c r="C1400" s="2">
        <f>HYPERLINK("https://sao.dolgi.msk.ru/account/1404223512/", 1404223512)</f>
        <v>1404223512</v>
      </c>
      <c r="D1400">
        <v>-6371.85</v>
      </c>
    </row>
    <row r="1401" spans="1:4" hidden="1" x14ac:dyDescent="0.25">
      <c r="A1401" t="s">
        <v>417</v>
      </c>
      <c r="B1401" t="s">
        <v>109</v>
      </c>
      <c r="C1401" s="2">
        <f>HYPERLINK("https://sao.dolgi.msk.ru/account/1404223483/", 1404223483)</f>
        <v>1404223483</v>
      </c>
      <c r="D1401">
        <v>0</v>
      </c>
    </row>
    <row r="1402" spans="1:4" hidden="1" x14ac:dyDescent="0.25">
      <c r="A1402" t="s">
        <v>417</v>
      </c>
      <c r="B1402" t="s">
        <v>110</v>
      </c>
      <c r="C1402" s="2">
        <f>HYPERLINK("https://sao.dolgi.msk.ru/account/1404224347/", 1404224347)</f>
        <v>1404224347</v>
      </c>
      <c r="D1402">
        <v>-7255.84</v>
      </c>
    </row>
    <row r="1403" spans="1:4" x14ac:dyDescent="0.25">
      <c r="A1403" t="s">
        <v>417</v>
      </c>
      <c r="B1403" t="s">
        <v>111</v>
      </c>
      <c r="C1403" s="2">
        <f>HYPERLINK("https://sao.dolgi.msk.ru/account/1404222894/", 1404222894)</f>
        <v>1404222894</v>
      </c>
      <c r="D1403">
        <v>3247.45</v>
      </c>
    </row>
    <row r="1404" spans="1:4" hidden="1" x14ac:dyDescent="0.25">
      <c r="A1404" t="s">
        <v>417</v>
      </c>
      <c r="B1404" t="s">
        <v>112</v>
      </c>
      <c r="C1404" s="2">
        <f>HYPERLINK("https://sao.dolgi.msk.ru/account/1404224128/", 1404224128)</f>
        <v>1404224128</v>
      </c>
      <c r="D1404">
        <v>-7388.2</v>
      </c>
    </row>
    <row r="1405" spans="1:4" x14ac:dyDescent="0.25">
      <c r="A1405" t="s">
        <v>417</v>
      </c>
      <c r="B1405" t="s">
        <v>113</v>
      </c>
      <c r="C1405" s="2">
        <f>HYPERLINK("https://sao.dolgi.msk.ru/account/1404224355/", 1404224355)</f>
        <v>1404224355</v>
      </c>
      <c r="D1405">
        <v>9877.76</v>
      </c>
    </row>
    <row r="1406" spans="1:4" hidden="1" x14ac:dyDescent="0.25">
      <c r="A1406" t="s">
        <v>417</v>
      </c>
      <c r="B1406" t="s">
        <v>114</v>
      </c>
      <c r="C1406" s="2">
        <f>HYPERLINK("https://sao.dolgi.msk.ru/account/1404223301/", 1404223301)</f>
        <v>1404223301</v>
      </c>
      <c r="D1406">
        <v>-7370.21</v>
      </c>
    </row>
    <row r="1407" spans="1:4" hidden="1" x14ac:dyDescent="0.25">
      <c r="A1407" t="s">
        <v>417</v>
      </c>
      <c r="B1407" t="s">
        <v>115</v>
      </c>
      <c r="C1407" s="2">
        <f>HYPERLINK("https://sao.dolgi.msk.ru/account/1404224398/", 1404224398)</f>
        <v>1404224398</v>
      </c>
      <c r="D1407">
        <v>0</v>
      </c>
    </row>
    <row r="1408" spans="1:4" x14ac:dyDescent="0.25">
      <c r="A1408" t="s">
        <v>417</v>
      </c>
      <c r="B1408" t="s">
        <v>116</v>
      </c>
      <c r="C1408" s="2">
        <f>HYPERLINK("https://sao.dolgi.msk.ru/account/1404223758/", 1404223758)</f>
        <v>1404223758</v>
      </c>
      <c r="D1408">
        <v>13981.44</v>
      </c>
    </row>
    <row r="1409" spans="1:4" hidden="1" x14ac:dyDescent="0.25">
      <c r="A1409" t="s">
        <v>417</v>
      </c>
      <c r="B1409" t="s">
        <v>117</v>
      </c>
      <c r="C1409" s="2">
        <f>HYPERLINK("https://sao.dolgi.msk.ru/account/1404223897/", 1404223897)</f>
        <v>1404223897</v>
      </c>
      <c r="D1409">
        <v>-494.31</v>
      </c>
    </row>
    <row r="1410" spans="1:4" hidden="1" x14ac:dyDescent="0.25">
      <c r="A1410" t="s">
        <v>417</v>
      </c>
      <c r="B1410" t="s">
        <v>118</v>
      </c>
      <c r="C1410" s="2">
        <f>HYPERLINK("https://sao.dolgi.msk.ru/account/1404223934/", 1404223934)</f>
        <v>1404223934</v>
      </c>
      <c r="D1410">
        <v>0</v>
      </c>
    </row>
    <row r="1411" spans="1:4" hidden="1" x14ac:dyDescent="0.25">
      <c r="A1411" t="s">
        <v>417</v>
      </c>
      <c r="B1411" t="s">
        <v>119</v>
      </c>
      <c r="C1411" s="2">
        <f>HYPERLINK("https://sao.dolgi.msk.ru/account/1404223133/", 1404223133)</f>
        <v>1404223133</v>
      </c>
      <c r="D1411">
        <v>-5005.58</v>
      </c>
    </row>
    <row r="1412" spans="1:4" hidden="1" x14ac:dyDescent="0.25">
      <c r="A1412" t="s">
        <v>417</v>
      </c>
      <c r="B1412" t="s">
        <v>120</v>
      </c>
      <c r="C1412" s="2">
        <f>HYPERLINK("https://sao.dolgi.msk.ru/account/1404224195/", 1404224195)</f>
        <v>1404224195</v>
      </c>
      <c r="D1412">
        <v>-4566.18</v>
      </c>
    </row>
    <row r="1413" spans="1:4" hidden="1" x14ac:dyDescent="0.25">
      <c r="A1413" t="s">
        <v>417</v>
      </c>
      <c r="B1413" t="s">
        <v>121</v>
      </c>
      <c r="C1413" s="2">
        <f>HYPERLINK("https://sao.dolgi.msk.ru/account/1404223141/", 1404223141)</f>
        <v>1404223141</v>
      </c>
      <c r="D1413">
        <v>-8734.14</v>
      </c>
    </row>
    <row r="1414" spans="1:4" x14ac:dyDescent="0.25">
      <c r="A1414" t="s">
        <v>417</v>
      </c>
      <c r="B1414" t="s">
        <v>122</v>
      </c>
      <c r="C1414" s="2">
        <f>HYPERLINK("https://sao.dolgi.msk.ru/account/1404224523/", 1404224523)</f>
        <v>1404224523</v>
      </c>
      <c r="D1414">
        <v>28579.02</v>
      </c>
    </row>
    <row r="1415" spans="1:4" hidden="1" x14ac:dyDescent="0.25">
      <c r="A1415" t="s">
        <v>417</v>
      </c>
      <c r="B1415" t="s">
        <v>123</v>
      </c>
      <c r="C1415" s="2">
        <f>HYPERLINK("https://sao.dolgi.msk.ru/account/1404224515/", 1404224515)</f>
        <v>1404224515</v>
      </c>
      <c r="D1415">
        <v>-587.45000000000005</v>
      </c>
    </row>
    <row r="1416" spans="1:4" x14ac:dyDescent="0.25">
      <c r="A1416" t="s">
        <v>417</v>
      </c>
      <c r="B1416" t="s">
        <v>123</v>
      </c>
      <c r="C1416" s="2">
        <f>HYPERLINK("https://sao.dolgi.msk.ru/account/1404224531/", 1404224531)</f>
        <v>1404224531</v>
      </c>
      <c r="D1416">
        <v>20123.09</v>
      </c>
    </row>
    <row r="1417" spans="1:4" hidden="1" x14ac:dyDescent="0.25">
      <c r="A1417" t="s">
        <v>417</v>
      </c>
      <c r="B1417" t="s">
        <v>124</v>
      </c>
      <c r="C1417" s="2">
        <f>HYPERLINK("https://sao.dolgi.msk.ru/account/1404224064/", 1404224064)</f>
        <v>1404224064</v>
      </c>
      <c r="D1417">
        <v>-3880.29</v>
      </c>
    </row>
    <row r="1418" spans="1:4" hidden="1" x14ac:dyDescent="0.25">
      <c r="A1418" t="s">
        <v>417</v>
      </c>
      <c r="B1418" t="s">
        <v>125</v>
      </c>
      <c r="C1418" s="2">
        <f>HYPERLINK("https://sao.dolgi.msk.ru/account/1404224005/", 1404224005)</f>
        <v>1404224005</v>
      </c>
      <c r="D1418">
        <v>0</v>
      </c>
    </row>
    <row r="1419" spans="1:4" hidden="1" x14ac:dyDescent="0.25">
      <c r="A1419" t="s">
        <v>417</v>
      </c>
      <c r="B1419" t="s">
        <v>126</v>
      </c>
      <c r="C1419" s="2">
        <f>HYPERLINK("https://sao.dolgi.msk.ru/account/1404224275/", 1404224275)</f>
        <v>1404224275</v>
      </c>
      <c r="D1419">
        <v>0</v>
      </c>
    </row>
    <row r="1420" spans="1:4" hidden="1" x14ac:dyDescent="0.25">
      <c r="A1420" t="s">
        <v>417</v>
      </c>
      <c r="B1420" t="s">
        <v>127</v>
      </c>
      <c r="C1420" s="2">
        <f>HYPERLINK("https://sao.dolgi.msk.ru/account/1404223846/", 1404223846)</f>
        <v>1404223846</v>
      </c>
      <c r="D1420">
        <v>0</v>
      </c>
    </row>
    <row r="1421" spans="1:4" hidden="1" x14ac:dyDescent="0.25">
      <c r="A1421" t="s">
        <v>417</v>
      </c>
      <c r="B1421" t="s">
        <v>128</v>
      </c>
      <c r="C1421" s="2">
        <f>HYPERLINK("https://sao.dolgi.msk.ru/account/1404223184/", 1404223184)</f>
        <v>1404223184</v>
      </c>
      <c r="D1421">
        <v>-603.95000000000005</v>
      </c>
    </row>
    <row r="1422" spans="1:4" hidden="1" x14ac:dyDescent="0.25">
      <c r="A1422" t="s">
        <v>417</v>
      </c>
      <c r="B1422" t="s">
        <v>129</v>
      </c>
      <c r="C1422" s="2">
        <f>HYPERLINK("https://sao.dolgi.msk.ru/account/1404223192/", 1404223192)</f>
        <v>1404223192</v>
      </c>
      <c r="D1422">
        <v>-8657.56</v>
      </c>
    </row>
    <row r="1423" spans="1:4" x14ac:dyDescent="0.25">
      <c r="A1423" t="s">
        <v>417</v>
      </c>
      <c r="B1423" t="s">
        <v>130</v>
      </c>
      <c r="C1423" s="2">
        <f>HYPERLINK("https://sao.dolgi.msk.ru/account/1404223627/", 1404223627)</f>
        <v>1404223627</v>
      </c>
      <c r="D1423">
        <v>52027.63</v>
      </c>
    </row>
    <row r="1424" spans="1:4" hidden="1" x14ac:dyDescent="0.25">
      <c r="A1424" t="s">
        <v>417</v>
      </c>
      <c r="B1424" t="s">
        <v>131</v>
      </c>
      <c r="C1424" s="2">
        <f>HYPERLINK("https://sao.dolgi.msk.ru/account/1404223053/", 1404223053)</f>
        <v>1404223053</v>
      </c>
      <c r="D1424">
        <v>-6819.76</v>
      </c>
    </row>
    <row r="1425" spans="1:4" hidden="1" x14ac:dyDescent="0.25">
      <c r="A1425" t="s">
        <v>417</v>
      </c>
      <c r="B1425" t="s">
        <v>132</v>
      </c>
      <c r="C1425" s="2">
        <f>HYPERLINK("https://sao.dolgi.msk.ru/account/1404223205/", 1404223205)</f>
        <v>1404223205</v>
      </c>
      <c r="D1425">
        <v>-4304.59</v>
      </c>
    </row>
    <row r="1426" spans="1:4" hidden="1" x14ac:dyDescent="0.25">
      <c r="A1426" t="s">
        <v>417</v>
      </c>
      <c r="B1426" t="s">
        <v>133</v>
      </c>
      <c r="C1426" s="2">
        <f>HYPERLINK("https://sao.dolgi.msk.ru/account/1404223854/", 1404223854)</f>
        <v>1404223854</v>
      </c>
      <c r="D1426">
        <v>-892.37</v>
      </c>
    </row>
    <row r="1427" spans="1:4" hidden="1" x14ac:dyDescent="0.25">
      <c r="A1427" t="s">
        <v>417</v>
      </c>
      <c r="B1427" t="s">
        <v>134</v>
      </c>
      <c r="C1427" s="2">
        <f>HYPERLINK("https://sao.dolgi.msk.ru/account/1404223862/", 1404223862)</f>
        <v>1404223862</v>
      </c>
      <c r="D1427">
        <v>-3420.28</v>
      </c>
    </row>
    <row r="1428" spans="1:4" x14ac:dyDescent="0.25">
      <c r="A1428" t="s">
        <v>417</v>
      </c>
      <c r="B1428" t="s">
        <v>135</v>
      </c>
      <c r="C1428" s="2">
        <f>HYPERLINK("https://sao.dolgi.msk.ru/account/1404223213/", 1404223213)</f>
        <v>1404223213</v>
      </c>
      <c r="D1428">
        <v>2283.63</v>
      </c>
    </row>
    <row r="1429" spans="1:4" x14ac:dyDescent="0.25">
      <c r="A1429" t="s">
        <v>417</v>
      </c>
      <c r="B1429" t="s">
        <v>136</v>
      </c>
      <c r="C1429" s="2">
        <f>HYPERLINK("https://sao.dolgi.msk.ru/account/1404223635/", 1404223635)</f>
        <v>1404223635</v>
      </c>
      <c r="D1429">
        <v>78.239999999999995</v>
      </c>
    </row>
    <row r="1430" spans="1:4" hidden="1" x14ac:dyDescent="0.25">
      <c r="A1430" t="s">
        <v>417</v>
      </c>
      <c r="B1430" t="s">
        <v>137</v>
      </c>
      <c r="C1430" s="2">
        <f>HYPERLINK("https://sao.dolgi.msk.ru/account/1404223889/", 1404223889)</f>
        <v>1404223889</v>
      </c>
      <c r="D1430">
        <v>-1285.5999999999999</v>
      </c>
    </row>
    <row r="1431" spans="1:4" hidden="1" x14ac:dyDescent="0.25">
      <c r="A1431" t="s">
        <v>417</v>
      </c>
      <c r="B1431" t="s">
        <v>138</v>
      </c>
      <c r="C1431" s="2">
        <f>HYPERLINK("https://sao.dolgi.msk.ru/account/1404223459/", 1404223459)</f>
        <v>1404223459</v>
      </c>
      <c r="D1431">
        <v>-790.73</v>
      </c>
    </row>
    <row r="1432" spans="1:4" hidden="1" x14ac:dyDescent="0.25">
      <c r="A1432" t="s">
        <v>418</v>
      </c>
      <c r="B1432" t="s">
        <v>5</v>
      </c>
      <c r="C1432" s="2">
        <f>HYPERLINK("https://sao.dolgi.msk.ru/account/1404225796/", 1404225796)</f>
        <v>1404225796</v>
      </c>
      <c r="D1432">
        <v>0</v>
      </c>
    </row>
    <row r="1433" spans="1:4" hidden="1" x14ac:dyDescent="0.25">
      <c r="A1433" t="s">
        <v>418</v>
      </c>
      <c r="B1433" t="s">
        <v>5</v>
      </c>
      <c r="C1433" s="2">
        <f>HYPERLINK("https://sao.dolgi.msk.ru/account/1404226668/", 1404226668)</f>
        <v>1404226668</v>
      </c>
      <c r="D1433">
        <v>0</v>
      </c>
    </row>
    <row r="1434" spans="1:4" hidden="1" x14ac:dyDescent="0.25">
      <c r="A1434" t="s">
        <v>418</v>
      </c>
      <c r="B1434" t="s">
        <v>6</v>
      </c>
      <c r="C1434" s="2">
        <f>HYPERLINK("https://sao.dolgi.msk.ru/account/1404225286/", 1404225286)</f>
        <v>1404225286</v>
      </c>
      <c r="D1434">
        <v>0</v>
      </c>
    </row>
    <row r="1435" spans="1:4" x14ac:dyDescent="0.25">
      <c r="A1435" t="s">
        <v>418</v>
      </c>
      <c r="B1435" t="s">
        <v>7</v>
      </c>
      <c r="C1435" s="2">
        <f>HYPERLINK("https://sao.dolgi.msk.ru/account/1404225606/", 1404225606)</f>
        <v>1404225606</v>
      </c>
      <c r="D1435">
        <v>60472.58</v>
      </c>
    </row>
    <row r="1436" spans="1:4" hidden="1" x14ac:dyDescent="0.25">
      <c r="A1436" t="s">
        <v>418</v>
      </c>
      <c r="B1436" t="s">
        <v>8</v>
      </c>
      <c r="C1436" s="2">
        <f>HYPERLINK("https://sao.dolgi.msk.ru/account/1404225649/", 1404225649)</f>
        <v>1404225649</v>
      </c>
      <c r="D1436">
        <v>-9096.4599999999991</v>
      </c>
    </row>
    <row r="1437" spans="1:4" hidden="1" x14ac:dyDescent="0.25">
      <c r="A1437" t="s">
        <v>418</v>
      </c>
      <c r="B1437" t="s">
        <v>9</v>
      </c>
      <c r="C1437" s="2">
        <f>HYPERLINK("https://sao.dolgi.msk.ru/account/1404225315/", 1404225315)</f>
        <v>1404225315</v>
      </c>
      <c r="D1437">
        <v>-9256.0499999999993</v>
      </c>
    </row>
    <row r="1438" spans="1:4" hidden="1" x14ac:dyDescent="0.25">
      <c r="A1438" t="s">
        <v>418</v>
      </c>
      <c r="B1438" t="s">
        <v>10</v>
      </c>
      <c r="C1438" s="2">
        <f>HYPERLINK("https://sao.dolgi.msk.ru/account/1404224865/", 1404224865)</f>
        <v>1404224865</v>
      </c>
      <c r="D1438">
        <v>-17181.48</v>
      </c>
    </row>
    <row r="1439" spans="1:4" hidden="1" x14ac:dyDescent="0.25">
      <c r="A1439" t="s">
        <v>418</v>
      </c>
      <c r="B1439" t="s">
        <v>11</v>
      </c>
      <c r="C1439" s="2">
        <f>HYPERLINK("https://sao.dolgi.msk.ru/account/1404225446/", 1404225446)</f>
        <v>1404225446</v>
      </c>
      <c r="D1439">
        <v>-6906.05</v>
      </c>
    </row>
    <row r="1440" spans="1:4" hidden="1" x14ac:dyDescent="0.25">
      <c r="A1440" t="s">
        <v>418</v>
      </c>
      <c r="B1440" t="s">
        <v>12</v>
      </c>
      <c r="C1440" s="2">
        <f>HYPERLINK("https://sao.dolgi.msk.ru/account/1404225163/", 1404225163)</f>
        <v>1404225163</v>
      </c>
      <c r="D1440">
        <v>-7110.73</v>
      </c>
    </row>
    <row r="1441" spans="1:4" hidden="1" x14ac:dyDescent="0.25">
      <c r="A1441" t="s">
        <v>418</v>
      </c>
      <c r="B1441" t="s">
        <v>13</v>
      </c>
      <c r="C1441" s="2">
        <f>HYPERLINK("https://sao.dolgi.msk.ru/account/1404225171/", 1404225171)</f>
        <v>1404225171</v>
      </c>
      <c r="D1441">
        <v>-7740.4</v>
      </c>
    </row>
    <row r="1442" spans="1:4" hidden="1" x14ac:dyDescent="0.25">
      <c r="A1442" t="s">
        <v>418</v>
      </c>
      <c r="B1442" t="s">
        <v>14</v>
      </c>
      <c r="C1442" s="2">
        <f>HYPERLINK("https://sao.dolgi.msk.ru/account/1404225876/", 1404225876)</f>
        <v>1404225876</v>
      </c>
      <c r="D1442">
        <v>-6542.82</v>
      </c>
    </row>
    <row r="1443" spans="1:4" hidden="1" x14ac:dyDescent="0.25">
      <c r="A1443" t="s">
        <v>418</v>
      </c>
      <c r="B1443" t="s">
        <v>15</v>
      </c>
      <c r="C1443" s="2">
        <f>HYPERLINK("https://sao.dolgi.msk.ru/account/1404224881/", 1404224881)</f>
        <v>1404224881</v>
      </c>
      <c r="D1443">
        <v>-6592.82</v>
      </c>
    </row>
    <row r="1444" spans="1:4" hidden="1" x14ac:dyDescent="0.25">
      <c r="A1444" t="s">
        <v>418</v>
      </c>
      <c r="B1444" t="s">
        <v>16</v>
      </c>
      <c r="C1444" s="2">
        <f>HYPERLINK("https://sao.dolgi.msk.ru/account/1404226211/", 1404226211)</f>
        <v>1404226211</v>
      </c>
      <c r="D1444">
        <v>-8786.3799999999992</v>
      </c>
    </row>
    <row r="1445" spans="1:4" hidden="1" x14ac:dyDescent="0.25">
      <c r="A1445" t="s">
        <v>418</v>
      </c>
      <c r="B1445" t="s">
        <v>17</v>
      </c>
      <c r="C1445" s="2">
        <f>HYPERLINK("https://sao.dolgi.msk.ru/account/1404226684/", 1404226684)</f>
        <v>1404226684</v>
      </c>
      <c r="D1445">
        <v>-8726.9</v>
      </c>
    </row>
    <row r="1446" spans="1:4" hidden="1" x14ac:dyDescent="0.25">
      <c r="A1446" t="s">
        <v>418</v>
      </c>
      <c r="B1446" t="s">
        <v>18</v>
      </c>
      <c r="C1446" s="2">
        <f>HYPERLINK("https://sao.dolgi.msk.ru/account/1404226238/", 1404226238)</f>
        <v>1404226238</v>
      </c>
      <c r="D1446">
        <v>-466.36</v>
      </c>
    </row>
    <row r="1447" spans="1:4" hidden="1" x14ac:dyDescent="0.25">
      <c r="A1447" t="s">
        <v>418</v>
      </c>
      <c r="B1447" t="s">
        <v>19</v>
      </c>
      <c r="C1447" s="2">
        <f>HYPERLINK("https://sao.dolgi.msk.ru/account/1404225905/", 1404225905)</f>
        <v>1404225905</v>
      </c>
      <c r="D1447">
        <v>-5840.97</v>
      </c>
    </row>
    <row r="1448" spans="1:4" hidden="1" x14ac:dyDescent="0.25">
      <c r="A1448" t="s">
        <v>418</v>
      </c>
      <c r="B1448" t="s">
        <v>20</v>
      </c>
      <c r="C1448" s="2">
        <f>HYPERLINK("https://sao.dolgi.msk.ru/account/1404224929/", 1404224929)</f>
        <v>1404224929</v>
      </c>
      <c r="D1448">
        <v>-15826.09</v>
      </c>
    </row>
    <row r="1449" spans="1:4" hidden="1" x14ac:dyDescent="0.25">
      <c r="A1449" t="s">
        <v>418</v>
      </c>
      <c r="B1449" t="s">
        <v>21</v>
      </c>
      <c r="C1449" s="2">
        <f>HYPERLINK("https://sao.dolgi.msk.ru/account/1404225198/", 1404225198)</f>
        <v>1404225198</v>
      </c>
      <c r="D1449">
        <v>0</v>
      </c>
    </row>
    <row r="1450" spans="1:4" hidden="1" x14ac:dyDescent="0.25">
      <c r="A1450" t="s">
        <v>418</v>
      </c>
      <c r="B1450" t="s">
        <v>22</v>
      </c>
      <c r="C1450" s="2">
        <f>HYPERLINK("https://sao.dolgi.msk.ru/account/1404226254/", 1404226254)</f>
        <v>1404226254</v>
      </c>
      <c r="D1450">
        <v>-7796.28</v>
      </c>
    </row>
    <row r="1451" spans="1:4" x14ac:dyDescent="0.25">
      <c r="A1451" t="s">
        <v>418</v>
      </c>
      <c r="B1451" t="s">
        <v>23</v>
      </c>
      <c r="C1451" s="2">
        <f>HYPERLINK("https://sao.dolgi.msk.ru/account/1404226406/", 1404226406)</f>
        <v>1404226406</v>
      </c>
      <c r="D1451">
        <v>718.01</v>
      </c>
    </row>
    <row r="1452" spans="1:4" hidden="1" x14ac:dyDescent="0.25">
      <c r="A1452" t="s">
        <v>418</v>
      </c>
      <c r="B1452" t="s">
        <v>24</v>
      </c>
      <c r="C1452" s="2">
        <f>HYPERLINK("https://sao.dolgi.msk.ru/account/1404225657/", 1404225657)</f>
        <v>1404225657</v>
      </c>
      <c r="D1452">
        <v>-10241.1</v>
      </c>
    </row>
    <row r="1453" spans="1:4" hidden="1" x14ac:dyDescent="0.25">
      <c r="A1453" t="s">
        <v>418</v>
      </c>
      <c r="B1453" t="s">
        <v>25</v>
      </c>
      <c r="C1453" s="2">
        <f>HYPERLINK("https://sao.dolgi.msk.ru/account/1404224785/", 1404224785)</f>
        <v>1404224785</v>
      </c>
      <c r="D1453">
        <v>0</v>
      </c>
    </row>
    <row r="1454" spans="1:4" hidden="1" x14ac:dyDescent="0.25">
      <c r="A1454" t="s">
        <v>418</v>
      </c>
      <c r="B1454" t="s">
        <v>26</v>
      </c>
      <c r="C1454" s="2">
        <f>HYPERLINK("https://sao.dolgi.msk.ru/account/1404224988/", 1404224988)</f>
        <v>1404224988</v>
      </c>
      <c r="D1454">
        <v>-7694.2</v>
      </c>
    </row>
    <row r="1455" spans="1:4" hidden="1" x14ac:dyDescent="0.25">
      <c r="A1455" t="s">
        <v>418</v>
      </c>
      <c r="B1455" t="s">
        <v>27</v>
      </c>
      <c r="C1455" s="2">
        <f>HYPERLINK("https://sao.dolgi.msk.ru/account/1404226764/", 1404226764)</f>
        <v>1404226764</v>
      </c>
      <c r="D1455">
        <v>-6227.51</v>
      </c>
    </row>
    <row r="1456" spans="1:4" x14ac:dyDescent="0.25">
      <c r="A1456" t="s">
        <v>418</v>
      </c>
      <c r="B1456" t="s">
        <v>28</v>
      </c>
      <c r="C1456" s="2">
        <f>HYPERLINK("https://sao.dolgi.msk.ru/account/1404226051/", 1404226051)</f>
        <v>1404226051</v>
      </c>
      <c r="D1456">
        <v>6169.3</v>
      </c>
    </row>
    <row r="1457" spans="1:4" hidden="1" x14ac:dyDescent="0.25">
      <c r="A1457" t="s">
        <v>418</v>
      </c>
      <c r="B1457" t="s">
        <v>29</v>
      </c>
      <c r="C1457" s="2">
        <f>HYPERLINK("https://sao.dolgi.msk.ru/account/1404226449/", 1404226449)</f>
        <v>1404226449</v>
      </c>
      <c r="D1457">
        <v>-5495.8</v>
      </c>
    </row>
    <row r="1458" spans="1:4" hidden="1" x14ac:dyDescent="0.25">
      <c r="A1458" t="s">
        <v>418</v>
      </c>
      <c r="B1458" t="s">
        <v>30</v>
      </c>
      <c r="C1458" s="2">
        <f>HYPERLINK("https://sao.dolgi.msk.ru/account/1404225497/", 1404225497)</f>
        <v>1404225497</v>
      </c>
      <c r="D1458">
        <v>-7377.73</v>
      </c>
    </row>
    <row r="1459" spans="1:4" hidden="1" x14ac:dyDescent="0.25">
      <c r="A1459" t="s">
        <v>418</v>
      </c>
      <c r="B1459" t="s">
        <v>31</v>
      </c>
      <c r="C1459" s="2">
        <f>HYPERLINK("https://sao.dolgi.msk.ru/account/1404226158/", 1404226158)</f>
        <v>1404226158</v>
      </c>
      <c r="D1459">
        <v>-5577.81</v>
      </c>
    </row>
    <row r="1460" spans="1:4" hidden="1" x14ac:dyDescent="0.25">
      <c r="A1460" t="s">
        <v>418</v>
      </c>
      <c r="B1460" t="s">
        <v>32</v>
      </c>
      <c r="C1460" s="2">
        <f>HYPERLINK("https://sao.dolgi.msk.ru/account/1404224574/", 1404224574)</f>
        <v>1404224574</v>
      </c>
      <c r="D1460">
        <v>-10121.5</v>
      </c>
    </row>
    <row r="1461" spans="1:4" hidden="1" x14ac:dyDescent="0.25">
      <c r="A1461" t="s">
        <v>418</v>
      </c>
      <c r="B1461" t="s">
        <v>33</v>
      </c>
      <c r="C1461" s="2">
        <f>HYPERLINK("https://sao.dolgi.msk.ru/account/1404225083/", 1404225083)</f>
        <v>1404225083</v>
      </c>
      <c r="D1461">
        <v>-8573.61</v>
      </c>
    </row>
    <row r="1462" spans="1:4" x14ac:dyDescent="0.25">
      <c r="A1462" t="s">
        <v>418</v>
      </c>
      <c r="B1462" t="s">
        <v>34</v>
      </c>
      <c r="C1462" s="2">
        <f>HYPERLINK("https://sao.dolgi.msk.ru/account/1404226553/", 1404226553)</f>
        <v>1404226553</v>
      </c>
      <c r="D1462">
        <v>34164.6</v>
      </c>
    </row>
    <row r="1463" spans="1:4" hidden="1" x14ac:dyDescent="0.25">
      <c r="A1463" t="s">
        <v>418</v>
      </c>
      <c r="B1463" t="s">
        <v>35</v>
      </c>
      <c r="C1463" s="2">
        <f>HYPERLINK("https://sao.dolgi.msk.ru/account/1404226457/", 1404226457)</f>
        <v>1404226457</v>
      </c>
      <c r="D1463">
        <v>0</v>
      </c>
    </row>
    <row r="1464" spans="1:4" hidden="1" x14ac:dyDescent="0.25">
      <c r="A1464" t="s">
        <v>418</v>
      </c>
      <c r="B1464" t="s">
        <v>36</v>
      </c>
      <c r="C1464" s="2">
        <f>HYPERLINK("https://sao.dolgi.msk.ru/account/1404225032/", 1404225032)</f>
        <v>1404225032</v>
      </c>
      <c r="D1464">
        <v>0</v>
      </c>
    </row>
    <row r="1465" spans="1:4" hidden="1" x14ac:dyDescent="0.25">
      <c r="A1465" t="s">
        <v>418</v>
      </c>
      <c r="B1465" t="s">
        <v>37</v>
      </c>
      <c r="C1465" s="2">
        <f>HYPERLINK("https://sao.dolgi.msk.ru/account/1404226692/", 1404226692)</f>
        <v>1404226692</v>
      </c>
      <c r="D1465">
        <v>-9302.66</v>
      </c>
    </row>
    <row r="1466" spans="1:4" x14ac:dyDescent="0.25">
      <c r="A1466" t="s">
        <v>418</v>
      </c>
      <c r="B1466" t="s">
        <v>38</v>
      </c>
      <c r="C1466" s="2">
        <f>HYPERLINK("https://sao.dolgi.msk.ru/account/1404225155/", 1404225155)</f>
        <v>1404225155</v>
      </c>
      <c r="D1466">
        <v>20873.8</v>
      </c>
    </row>
    <row r="1467" spans="1:4" x14ac:dyDescent="0.25">
      <c r="A1467" t="s">
        <v>418</v>
      </c>
      <c r="B1467" t="s">
        <v>39</v>
      </c>
      <c r="C1467" s="2">
        <f>HYPERLINK("https://sao.dolgi.msk.ru/account/1404226174/", 1404226174)</f>
        <v>1404226174</v>
      </c>
      <c r="D1467">
        <v>89253.119999999995</v>
      </c>
    </row>
    <row r="1468" spans="1:4" hidden="1" x14ac:dyDescent="0.25">
      <c r="A1468" t="s">
        <v>418</v>
      </c>
      <c r="B1468" t="s">
        <v>40</v>
      </c>
      <c r="C1468" s="2">
        <f>HYPERLINK("https://sao.dolgi.msk.ru/account/1404226377/", 1404226377)</f>
        <v>1404226377</v>
      </c>
      <c r="D1468">
        <v>-9078.76</v>
      </c>
    </row>
    <row r="1469" spans="1:4" x14ac:dyDescent="0.25">
      <c r="A1469" t="s">
        <v>418</v>
      </c>
      <c r="B1469" t="s">
        <v>41</v>
      </c>
      <c r="C1469" s="2">
        <f>HYPERLINK("https://sao.dolgi.msk.ru/account/1404225489/", 1404225489)</f>
        <v>1404225489</v>
      </c>
      <c r="D1469">
        <v>63671.56</v>
      </c>
    </row>
    <row r="1470" spans="1:4" x14ac:dyDescent="0.25">
      <c r="A1470" t="s">
        <v>418</v>
      </c>
      <c r="B1470" t="s">
        <v>42</v>
      </c>
      <c r="C1470" s="2">
        <f>HYPERLINK("https://sao.dolgi.msk.ru/account/1404226246/", 1404226246)</f>
        <v>1404226246</v>
      </c>
      <c r="D1470">
        <v>7388.75</v>
      </c>
    </row>
    <row r="1471" spans="1:4" hidden="1" x14ac:dyDescent="0.25">
      <c r="A1471" t="s">
        <v>418</v>
      </c>
      <c r="B1471" t="s">
        <v>43</v>
      </c>
      <c r="C1471" s="2">
        <f>HYPERLINK("https://sao.dolgi.msk.ru/account/1404224806/", 1404224806)</f>
        <v>1404224806</v>
      </c>
      <c r="D1471">
        <v>-5944.38</v>
      </c>
    </row>
    <row r="1472" spans="1:4" hidden="1" x14ac:dyDescent="0.25">
      <c r="A1472" t="s">
        <v>418</v>
      </c>
      <c r="B1472" t="s">
        <v>44</v>
      </c>
      <c r="C1472" s="2">
        <f>HYPERLINK("https://sao.dolgi.msk.ru/account/1404226203/", 1404226203)</f>
        <v>1404226203</v>
      </c>
      <c r="D1472">
        <v>0</v>
      </c>
    </row>
    <row r="1473" spans="1:4" x14ac:dyDescent="0.25">
      <c r="A1473" t="s">
        <v>418</v>
      </c>
      <c r="B1473" t="s">
        <v>45</v>
      </c>
      <c r="C1473" s="2">
        <f>HYPERLINK("https://sao.dolgi.msk.ru/account/1404225809/", 1404225809)</f>
        <v>1404225809</v>
      </c>
      <c r="D1473">
        <v>26338.83</v>
      </c>
    </row>
    <row r="1474" spans="1:4" x14ac:dyDescent="0.25">
      <c r="A1474" t="s">
        <v>418</v>
      </c>
      <c r="B1474" t="s">
        <v>46</v>
      </c>
      <c r="C1474" s="2">
        <f>HYPERLINK("https://sao.dolgi.msk.ru/account/1404225358/", 1404225358)</f>
        <v>1404225358</v>
      </c>
      <c r="D1474">
        <v>21946.240000000002</v>
      </c>
    </row>
    <row r="1475" spans="1:4" hidden="1" x14ac:dyDescent="0.25">
      <c r="A1475" t="s">
        <v>418</v>
      </c>
      <c r="B1475" t="s">
        <v>47</v>
      </c>
      <c r="C1475" s="2">
        <f>HYPERLINK("https://sao.dolgi.msk.ru/account/1404226633/", 1404226633)</f>
        <v>1404226633</v>
      </c>
      <c r="D1475">
        <v>-4815.74</v>
      </c>
    </row>
    <row r="1476" spans="1:4" hidden="1" x14ac:dyDescent="0.25">
      <c r="A1476" t="s">
        <v>418</v>
      </c>
      <c r="B1476" t="s">
        <v>48</v>
      </c>
      <c r="C1476" s="2">
        <f>HYPERLINK("https://sao.dolgi.msk.ru/account/1404226473/", 1404226473)</f>
        <v>1404226473</v>
      </c>
      <c r="D1476">
        <v>-9630.24</v>
      </c>
    </row>
    <row r="1477" spans="1:4" hidden="1" x14ac:dyDescent="0.25">
      <c r="A1477" t="s">
        <v>418</v>
      </c>
      <c r="B1477" t="s">
        <v>49</v>
      </c>
      <c r="C1477" s="2">
        <f>HYPERLINK("https://sao.dolgi.msk.ru/account/1404226182/", 1404226182)</f>
        <v>1404226182</v>
      </c>
      <c r="D1477">
        <v>0</v>
      </c>
    </row>
    <row r="1478" spans="1:4" hidden="1" x14ac:dyDescent="0.25">
      <c r="A1478" t="s">
        <v>418</v>
      </c>
      <c r="B1478" t="s">
        <v>50</v>
      </c>
      <c r="C1478" s="2">
        <f>HYPERLINK("https://sao.dolgi.msk.ru/account/1404224603/", 1404224603)</f>
        <v>1404224603</v>
      </c>
      <c r="D1478">
        <v>0</v>
      </c>
    </row>
    <row r="1479" spans="1:4" hidden="1" x14ac:dyDescent="0.25">
      <c r="A1479" t="s">
        <v>418</v>
      </c>
      <c r="B1479" t="s">
        <v>50</v>
      </c>
      <c r="C1479" s="2">
        <f>HYPERLINK("https://sao.dolgi.msk.ru/account/1404224857/", 1404224857)</f>
        <v>1404224857</v>
      </c>
      <c r="D1479">
        <v>0</v>
      </c>
    </row>
    <row r="1480" spans="1:4" hidden="1" x14ac:dyDescent="0.25">
      <c r="A1480" t="s">
        <v>418</v>
      </c>
      <c r="B1480" t="s">
        <v>51</v>
      </c>
      <c r="C1480" s="2">
        <f>HYPERLINK("https://sao.dolgi.msk.ru/account/1404225008/", 1404225008)</f>
        <v>1404225008</v>
      </c>
      <c r="D1480">
        <v>-7694.2</v>
      </c>
    </row>
    <row r="1481" spans="1:4" hidden="1" x14ac:dyDescent="0.25">
      <c r="A1481" t="s">
        <v>418</v>
      </c>
      <c r="B1481" t="s">
        <v>52</v>
      </c>
      <c r="C1481" s="2">
        <f>HYPERLINK("https://sao.dolgi.msk.ru/account/1404225307/", 1404225307)</f>
        <v>1404225307</v>
      </c>
      <c r="D1481">
        <v>0</v>
      </c>
    </row>
    <row r="1482" spans="1:4" hidden="1" x14ac:dyDescent="0.25">
      <c r="A1482" t="s">
        <v>418</v>
      </c>
      <c r="B1482" t="s">
        <v>53</v>
      </c>
      <c r="C1482" s="2">
        <f>HYPERLINK("https://sao.dolgi.msk.ru/account/1404225251/", 1404225251)</f>
        <v>1404225251</v>
      </c>
      <c r="D1482">
        <v>-7176.16</v>
      </c>
    </row>
    <row r="1483" spans="1:4" hidden="1" x14ac:dyDescent="0.25">
      <c r="A1483" t="s">
        <v>418</v>
      </c>
      <c r="B1483" t="s">
        <v>54</v>
      </c>
      <c r="C1483" s="2">
        <f>HYPERLINK("https://sao.dolgi.msk.ru/account/1404225913/", 1404225913)</f>
        <v>1404225913</v>
      </c>
      <c r="D1483">
        <v>0</v>
      </c>
    </row>
    <row r="1484" spans="1:4" hidden="1" x14ac:dyDescent="0.25">
      <c r="A1484" t="s">
        <v>418</v>
      </c>
      <c r="B1484" t="s">
        <v>55</v>
      </c>
      <c r="C1484" s="2">
        <f>HYPERLINK("https://sao.dolgi.msk.ru/account/1404225665/", 1404225665)</f>
        <v>1404225665</v>
      </c>
      <c r="D1484">
        <v>0</v>
      </c>
    </row>
    <row r="1485" spans="1:4" hidden="1" x14ac:dyDescent="0.25">
      <c r="A1485" t="s">
        <v>418</v>
      </c>
      <c r="B1485" t="s">
        <v>56</v>
      </c>
      <c r="C1485" s="2">
        <f>HYPERLINK("https://sao.dolgi.msk.ru/account/1404225374/", 1404225374)</f>
        <v>1404225374</v>
      </c>
      <c r="D1485">
        <v>0</v>
      </c>
    </row>
    <row r="1486" spans="1:4" hidden="1" x14ac:dyDescent="0.25">
      <c r="A1486" t="s">
        <v>418</v>
      </c>
      <c r="B1486" t="s">
        <v>57</v>
      </c>
      <c r="C1486" s="2">
        <f>HYPERLINK("https://sao.dolgi.msk.ru/account/1404224654/", 1404224654)</f>
        <v>1404224654</v>
      </c>
      <c r="D1486">
        <v>0</v>
      </c>
    </row>
    <row r="1487" spans="1:4" hidden="1" x14ac:dyDescent="0.25">
      <c r="A1487" t="s">
        <v>418</v>
      </c>
      <c r="B1487" t="s">
        <v>58</v>
      </c>
      <c r="C1487" s="2">
        <f>HYPERLINK("https://sao.dolgi.msk.ru/account/1404224814/", 1404224814)</f>
        <v>1404224814</v>
      </c>
      <c r="D1487">
        <v>0</v>
      </c>
    </row>
    <row r="1488" spans="1:4" x14ac:dyDescent="0.25">
      <c r="A1488" t="s">
        <v>418</v>
      </c>
      <c r="B1488" t="s">
        <v>59</v>
      </c>
      <c r="C1488" s="2">
        <f>HYPERLINK("https://sao.dolgi.msk.ru/account/1404226094/", 1404226094)</f>
        <v>1404226094</v>
      </c>
      <c r="D1488">
        <v>7419.31</v>
      </c>
    </row>
    <row r="1489" spans="1:4" hidden="1" x14ac:dyDescent="0.25">
      <c r="A1489" t="s">
        <v>418</v>
      </c>
      <c r="B1489" t="s">
        <v>60</v>
      </c>
      <c r="C1489" s="2">
        <f>HYPERLINK("https://sao.dolgi.msk.ru/account/1404225673/", 1404225673)</f>
        <v>1404225673</v>
      </c>
      <c r="D1489">
        <v>-6691.39</v>
      </c>
    </row>
    <row r="1490" spans="1:4" hidden="1" x14ac:dyDescent="0.25">
      <c r="A1490" t="s">
        <v>418</v>
      </c>
      <c r="B1490" t="s">
        <v>61</v>
      </c>
      <c r="C1490" s="2">
        <f>HYPERLINK("https://sao.dolgi.msk.ru/account/1404225382/", 1404225382)</f>
        <v>1404225382</v>
      </c>
      <c r="D1490">
        <v>-9021.34</v>
      </c>
    </row>
    <row r="1491" spans="1:4" hidden="1" x14ac:dyDescent="0.25">
      <c r="A1491" t="s">
        <v>418</v>
      </c>
      <c r="B1491" t="s">
        <v>62</v>
      </c>
      <c r="C1491" s="2">
        <f>HYPERLINK("https://sao.dolgi.msk.ru/account/1404226529/", 1404226529)</f>
        <v>1404226529</v>
      </c>
      <c r="D1491">
        <v>-3176.8</v>
      </c>
    </row>
    <row r="1492" spans="1:4" hidden="1" x14ac:dyDescent="0.25">
      <c r="A1492" t="s">
        <v>418</v>
      </c>
      <c r="B1492" t="s">
        <v>63</v>
      </c>
      <c r="C1492" s="2">
        <f>HYPERLINK("https://sao.dolgi.msk.ru/account/1404225147/", 1404225147)</f>
        <v>1404225147</v>
      </c>
      <c r="D1492">
        <v>-5953.88</v>
      </c>
    </row>
    <row r="1493" spans="1:4" x14ac:dyDescent="0.25">
      <c r="A1493" t="s">
        <v>418</v>
      </c>
      <c r="B1493" t="s">
        <v>64</v>
      </c>
      <c r="C1493" s="2">
        <f>HYPERLINK("https://sao.dolgi.msk.ru/account/1404226537/", 1404226537)</f>
        <v>1404226537</v>
      </c>
      <c r="D1493">
        <v>53179.27</v>
      </c>
    </row>
    <row r="1494" spans="1:4" hidden="1" x14ac:dyDescent="0.25">
      <c r="A1494" t="s">
        <v>418</v>
      </c>
      <c r="B1494" t="s">
        <v>65</v>
      </c>
      <c r="C1494" s="2">
        <f>HYPERLINK("https://sao.dolgi.msk.ru/account/1404225059/", 1404225059)</f>
        <v>1404225059</v>
      </c>
      <c r="D1494">
        <v>0</v>
      </c>
    </row>
    <row r="1495" spans="1:4" hidden="1" x14ac:dyDescent="0.25">
      <c r="A1495" t="s">
        <v>418</v>
      </c>
      <c r="B1495" t="s">
        <v>66</v>
      </c>
      <c r="C1495" s="2">
        <f>HYPERLINK("https://sao.dolgi.msk.ru/account/1404225411/", 1404225411)</f>
        <v>1404225411</v>
      </c>
      <c r="D1495">
        <v>-6974.64</v>
      </c>
    </row>
    <row r="1496" spans="1:4" hidden="1" x14ac:dyDescent="0.25">
      <c r="A1496" t="s">
        <v>418</v>
      </c>
      <c r="B1496" t="s">
        <v>67</v>
      </c>
      <c r="C1496" s="2">
        <f>HYPERLINK("https://sao.dolgi.msk.ru/account/1404224718/", 1404224718)</f>
        <v>1404224718</v>
      </c>
      <c r="D1496">
        <v>-2149.31</v>
      </c>
    </row>
    <row r="1497" spans="1:4" hidden="1" x14ac:dyDescent="0.25">
      <c r="A1497" t="s">
        <v>418</v>
      </c>
      <c r="B1497" t="s">
        <v>68</v>
      </c>
      <c r="C1497" s="2">
        <f>HYPERLINK("https://sao.dolgi.msk.ru/account/1404226107/", 1404226107)</f>
        <v>1404226107</v>
      </c>
      <c r="D1497">
        <v>-8949.2900000000009</v>
      </c>
    </row>
    <row r="1498" spans="1:4" hidden="1" x14ac:dyDescent="0.25">
      <c r="A1498" t="s">
        <v>418</v>
      </c>
      <c r="B1498" t="s">
        <v>69</v>
      </c>
      <c r="C1498" s="2">
        <f>HYPERLINK("https://sao.dolgi.msk.ru/account/1404225243/", 1404225243)</f>
        <v>1404225243</v>
      </c>
      <c r="D1498">
        <v>-7288.05</v>
      </c>
    </row>
    <row r="1499" spans="1:4" hidden="1" x14ac:dyDescent="0.25">
      <c r="A1499" t="s">
        <v>418</v>
      </c>
      <c r="B1499" t="s">
        <v>70</v>
      </c>
      <c r="C1499" s="2">
        <f>HYPERLINK("https://sao.dolgi.msk.ru/account/1404225091/", 1404225091)</f>
        <v>1404225091</v>
      </c>
      <c r="D1499">
        <v>-6350.39</v>
      </c>
    </row>
    <row r="1500" spans="1:4" hidden="1" x14ac:dyDescent="0.25">
      <c r="A1500" t="s">
        <v>418</v>
      </c>
      <c r="B1500" t="s">
        <v>71</v>
      </c>
      <c r="C1500" s="2">
        <f>HYPERLINK("https://sao.dolgi.msk.ru/account/1404226115/", 1404226115)</f>
        <v>1404226115</v>
      </c>
      <c r="D1500">
        <v>-7769.24</v>
      </c>
    </row>
    <row r="1501" spans="1:4" x14ac:dyDescent="0.25">
      <c r="A1501" t="s">
        <v>418</v>
      </c>
      <c r="B1501" t="s">
        <v>72</v>
      </c>
      <c r="C1501" s="2">
        <f>HYPERLINK("https://sao.dolgi.msk.ru/account/1404224996/", 1404224996)</f>
        <v>1404224996</v>
      </c>
      <c r="D1501">
        <v>8647.51</v>
      </c>
    </row>
    <row r="1502" spans="1:4" hidden="1" x14ac:dyDescent="0.25">
      <c r="A1502" t="s">
        <v>418</v>
      </c>
      <c r="B1502" t="s">
        <v>73</v>
      </c>
      <c r="C1502" s="2">
        <f>HYPERLINK("https://sao.dolgi.msk.ru/account/1404225104/", 1404225104)</f>
        <v>1404225104</v>
      </c>
      <c r="D1502">
        <v>-9958.2900000000009</v>
      </c>
    </row>
    <row r="1503" spans="1:4" hidden="1" x14ac:dyDescent="0.25">
      <c r="A1503" t="s">
        <v>418</v>
      </c>
      <c r="B1503" t="s">
        <v>74</v>
      </c>
      <c r="C1503" s="2">
        <f>HYPERLINK("https://sao.dolgi.msk.ru/account/1404225999/", 1404225999)</f>
        <v>1404225999</v>
      </c>
      <c r="D1503">
        <v>0</v>
      </c>
    </row>
    <row r="1504" spans="1:4" hidden="1" x14ac:dyDescent="0.25">
      <c r="A1504" t="s">
        <v>418</v>
      </c>
      <c r="B1504" t="s">
        <v>74</v>
      </c>
      <c r="C1504" s="2">
        <f>HYPERLINK("https://sao.dolgi.msk.ru/account/1404226123/", 1404226123)</f>
        <v>1404226123</v>
      </c>
      <c r="D1504">
        <v>-2215.33</v>
      </c>
    </row>
    <row r="1505" spans="1:4" hidden="1" x14ac:dyDescent="0.25">
      <c r="A1505" t="s">
        <v>418</v>
      </c>
      <c r="B1505" t="s">
        <v>75</v>
      </c>
      <c r="C1505" s="2">
        <f>HYPERLINK("https://sao.dolgi.msk.ru/account/1404225884/", 1404225884)</f>
        <v>1404225884</v>
      </c>
      <c r="D1505">
        <v>-4567.54</v>
      </c>
    </row>
    <row r="1506" spans="1:4" x14ac:dyDescent="0.25">
      <c r="A1506" t="s">
        <v>418</v>
      </c>
      <c r="B1506" t="s">
        <v>76</v>
      </c>
      <c r="C1506" s="2">
        <f>HYPERLINK("https://sao.dolgi.msk.ru/account/1404224849/", 1404224849)</f>
        <v>1404224849</v>
      </c>
      <c r="D1506">
        <v>54591.47</v>
      </c>
    </row>
    <row r="1507" spans="1:4" hidden="1" x14ac:dyDescent="0.25">
      <c r="A1507" t="s">
        <v>418</v>
      </c>
      <c r="B1507" t="s">
        <v>77</v>
      </c>
      <c r="C1507" s="2">
        <f>HYPERLINK("https://sao.dolgi.msk.ru/account/1404224697/", 1404224697)</f>
        <v>1404224697</v>
      </c>
      <c r="D1507">
        <v>0</v>
      </c>
    </row>
    <row r="1508" spans="1:4" hidden="1" x14ac:dyDescent="0.25">
      <c r="A1508" t="s">
        <v>418</v>
      </c>
      <c r="B1508" t="s">
        <v>78</v>
      </c>
      <c r="C1508" s="2">
        <f>HYPERLINK("https://sao.dolgi.msk.ru/account/1404225219/", 1404225219)</f>
        <v>1404225219</v>
      </c>
      <c r="D1508">
        <v>0</v>
      </c>
    </row>
    <row r="1509" spans="1:4" hidden="1" x14ac:dyDescent="0.25">
      <c r="A1509" t="s">
        <v>418</v>
      </c>
      <c r="B1509" t="s">
        <v>79</v>
      </c>
      <c r="C1509" s="2">
        <f>HYPERLINK("https://sao.dolgi.msk.ru/account/1404224937/", 1404224937)</f>
        <v>1404224937</v>
      </c>
      <c r="D1509">
        <v>-6157.1</v>
      </c>
    </row>
    <row r="1510" spans="1:4" x14ac:dyDescent="0.25">
      <c r="A1510" t="s">
        <v>418</v>
      </c>
      <c r="B1510" t="s">
        <v>80</v>
      </c>
      <c r="C1510" s="2">
        <f>HYPERLINK("https://sao.dolgi.msk.ru/account/1404225235/", 1404225235)</f>
        <v>1404225235</v>
      </c>
      <c r="D1510">
        <v>27806.03</v>
      </c>
    </row>
    <row r="1511" spans="1:4" hidden="1" x14ac:dyDescent="0.25">
      <c r="A1511" t="s">
        <v>418</v>
      </c>
      <c r="B1511" t="s">
        <v>81</v>
      </c>
      <c r="C1511" s="2">
        <f>HYPERLINK("https://sao.dolgi.msk.ru/account/1404226596/", 1404226596)</f>
        <v>1404226596</v>
      </c>
      <c r="D1511">
        <v>-5896.78</v>
      </c>
    </row>
    <row r="1512" spans="1:4" hidden="1" x14ac:dyDescent="0.25">
      <c r="A1512" t="s">
        <v>418</v>
      </c>
      <c r="B1512" t="s">
        <v>82</v>
      </c>
      <c r="C1512" s="2">
        <f>HYPERLINK("https://sao.dolgi.msk.ru/account/1404224742/", 1404224742)</f>
        <v>1404224742</v>
      </c>
      <c r="D1512">
        <v>0</v>
      </c>
    </row>
    <row r="1513" spans="1:4" hidden="1" x14ac:dyDescent="0.25">
      <c r="A1513" t="s">
        <v>418</v>
      </c>
      <c r="B1513" t="s">
        <v>83</v>
      </c>
      <c r="C1513" s="2">
        <f>HYPERLINK("https://sao.dolgi.msk.ru/account/1404226019/", 1404226019)</f>
        <v>1404226019</v>
      </c>
      <c r="D1513">
        <v>-7257.77</v>
      </c>
    </row>
    <row r="1514" spans="1:4" hidden="1" x14ac:dyDescent="0.25">
      <c r="A1514" t="s">
        <v>418</v>
      </c>
      <c r="B1514" t="s">
        <v>84</v>
      </c>
      <c r="C1514" s="2">
        <f>HYPERLINK("https://sao.dolgi.msk.ru/account/1404225622/", 1404225622)</f>
        <v>1404225622</v>
      </c>
      <c r="D1514">
        <v>-10388.68</v>
      </c>
    </row>
    <row r="1515" spans="1:4" hidden="1" x14ac:dyDescent="0.25">
      <c r="A1515" t="s">
        <v>418</v>
      </c>
      <c r="B1515" t="s">
        <v>85</v>
      </c>
      <c r="C1515" s="2">
        <f>HYPERLINK("https://sao.dolgi.msk.ru/account/1404224961/", 1404224961)</f>
        <v>1404224961</v>
      </c>
      <c r="D1515">
        <v>-24673.02</v>
      </c>
    </row>
    <row r="1516" spans="1:4" hidden="1" x14ac:dyDescent="0.25">
      <c r="A1516" t="s">
        <v>418</v>
      </c>
      <c r="B1516" t="s">
        <v>86</v>
      </c>
      <c r="C1516" s="2">
        <f>HYPERLINK("https://sao.dolgi.msk.ru/account/1404225067/", 1404225067)</f>
        <v>1404225067</v>
      </c>
      <c r="D1516">
        <v>0</v>
      </c>
    </row>
    <row r="1517" spans="1:4" hidden="1" x14ac:dyDescent="0.25">
      <c r="A1517" t="s">
        <v>418</v>
      </c>
      <c r="B1517" t="s">
        <v>87</v>
      </c>
      <c r="C1517" s="2">
        <f>HYPERLINK("https://sao.dolgi.msk.ru/account/1404225614/", 1404225614)</f>
        <v>1404225614</v>
      </c>
      <c r="D1517">
        <v>-4543.04</v>
      </c>
    </row>
    <row r="1518" spans="1:4" x14ac:dyDescent="0.25">
      <c r="A1518" t="s">
        <v>418</v>
      </c>
      <c r="B1518" t="s">
        <v>88</v>
      </c>
      <c r="C1518" s="2">
        <f>HYPERLINK("https://sao.dolgi.msk.ru/account/1404226545/", 1404226545)</f>
        <v>1404226545</v>
      </c>
      <c r="D1518">
        <v>45744.68</v>
      </c>
    </row>
    <row r="1519" spans="1:4" hidden="1" x14ac:dyDescent="0.25">
      <c r="A1519" t="s">
        <v>418</v>
      </c>
      <c r="B1519" t="s">
        <v>89</v>
      </c>
      <c r="C1519" s="2">
        <f>HYPERLINK("https://sao.dolgi.msk.ru/account/1404225817/", 1404225817)</f>
        <v>1404225817</v>
      </c>
      <c r="D1519">
        <v>-10294.35</v>
      </c>
    </row>
    <row r="1520" spans="1:4" hidden="1" x14ac:dyDescent="0.25">
      <c r="A1520" t="s">
        <v>418</v>
      </c>
      <c r="B1520" t="s">
        <v>90</v>
      </c>
      <c r="C1520" s="2">
        <f>HYPERLINK("https://sao.dolgi.msk.ru/account/1404224873/", 1404224873)</f>
        <v>1404224873</v>
      </c>
      <c r="D1520">
        <v>-7458.2</v>
      </c>
    </row>
    <row r="1521" spans="1:4" hidden="1" x14ac:dyDescent="0.25">
      <c r="A1521" t="s">
        <v>418</v>
      </c>
      <c r="B1521" t="s">
        <v>91</v>
      </c>
      <c r="C1521" s="2">
        <f>HYPERLINK("https://sao.dolgi.msk.ru/account/1404226705/", 1404226705)</f>
        <v>1404226705</v>
      </c>
      <c r="D1521">
        <v>-6460.34</v>
      </c>
    </row>
    <row r="1522" spans="1:4" hidden="1" x14ac:dyDescent="0.25">
      <c r="A1522" t="s">
        <v>418</v>
      </c>
      <c r="B1522" t="s">
        <v>92</v>
      </c>
      <c r="C1522" s="2">
        <f>HYPERLINK("https://sao.dolgi.msk.ru/account/1404224689/", 1404224689)</f>
        <v>1404224689</v>
      </c>
      <c r="D1522">
        <v>0</v>
      </c>
    </row>
    <row r="1523" spans="1:4" x14ac:dyDescent="0.25">
      <c r="A1523" t="s">
        <v>418</v>
      </c>
      <c r="B1523" t="s">
        <v>93</v>
      </c>
      <c r="C1523" s="2">
        <f>HYPERLINK("https://sao.dolgi.msk.ru/account/1404225016/", 1404225016)</f>
        <v>1404225016</v>
      </c>
      <c r="D1523">
        <v>1767.31</v>
      </c>
    </row>
    <row r="1524" spans="1:4" hidden="1" x14ac:dyDescent="0.25">
      <c r="A1524" t="s">
        <v>418</v>
      </c>
      <c r="B1524" t="s">
        <v>94</v>
      </c>
      <c r="C1524" s="2">
        <f>HYPERLINK("https://sao.dolgi.msk.ru/account/1404225331/", 1404225331)</f>
        <v>1404225331</v>
      </c>
      <c r="D1524">
        <v>-6320.55</v>
      </c>
    </row>
    <row r="1525" spans="1:4" hidden="1" x14ac:dyDescent="0.25">
      <c r="A1525" t="s">
        <v>418</v>
      </c>
      <c r="B1525" t="s">
        <v>95</v>
      </c>
      <c r="C1525" s="2">
        <f>HYPERLINK("https://sao.dolgi.msk.ru/account/1404226561/", 1404226561)</f>
        <v>1404226561</v>
      </c>
      <c r="D1525">
        <v>0</v>
      </c>
    </row>
    <row r="1526" spans="1:4" hidden="1" x14ac:dyDescent="0.25">
      <c r="A1526" t="s">
        <v>418</v>
      </c>
      <c r="B1526" t="s">
        <v>96</v>
      </c>
      <c r="C1526" s="2">
        <f>HYPERLINK("https://sao.dolgi.msk.ru/account/1404225972/", 1404225972)</f>
        <v>1404225972</v>
      </c>
      <c r="D1526">
        <v>0</v>
      </c>
    </row>
    <row r="1527" spans="1:4" hidden="1" x14ac:dyDescent="0.25">
      <c r="A1527" t="s">
        <v>418</v>
      </c>
      <c r="B1527" t="s">
        <v>97</v>
      </c>
      <c r="C1527" s="2">
        <f>HYPERLINK("https://sao.dolgi.msk.ru/account/1404225454/", 1404225454)</f>
        <v>1404225454</v>
      </c>
      <c r="D1527">
        <v>-6029.34</v>
      </c>
    </row>
    <row r="1528" spans="1:4" hidden="1" x14ac:dyDescent="0.25">
      <c r="A1528" t="s">
        <v>418</v>
      </c>
      <c r="B1528" t="s">
        <v>98</v>
      </c>
      <c r="C1528" s="2">
        <f>HYPERLINK("https://sao.dolgi.msk.ru/account/1404224902/", 1404224902)</f>
        <v>1404224902</v>
      </c>
      <c r="D1528">
        <v>-9169.84</v>
      </c>
    </row>
    <row r="1529" spans="1:4" x14ac:dyDescent="0.25">
      <c r="A1529" t="s">
        <v>418</v>
      </c>
      <c r="B1529" t="s">
        <v>99</v>
      </c>
      <c r="C1529" s="2">
        <f>HYPERLINK("https://sao.dolgi.msk.ru/account/1404226588/", 1404226588)</f>
        <v>1404226588</v>
      </c>
      <c r="D1529">
        <v>15913.47</v>
      </c>
    </row>
    <row r="1530" spans="1:4" x14ac:dyDescent="0.25">
      <c r="A1530" t="s">
        <v>418</v>
      </c>
      <c r="B1530" t="s">
        <v>100</v>
      </c>
      <c r="C1530" s="2">
        <f>HYPERLINK("https://sao.dolgi.msk.ru/account/1404226297/", 1404226297)</f>
        <v>1404226297</v>
      </c>
      <c r="D1530">
        <v>2061.69</v>
      </c>
    </row>
    <row r="1531" spans="1:4" hidden="1" x14ac:dyDescent="0.25">
      <c r="A1531" t="s">
        <v>418</v>
      </c>
      <c r="B1531" t="s">
        <v>101</v>
      </c>
      <c r="C1531" s="2">
        <f>HYPERLINK("https://sao.dolgi.msk.ru/account/1404226369/", 1404226369)</f>
        <v>1404226369</v>
      </c>
      <c r="D1531">
        <v>-9057.68</v>
      </c>
    </row>
    <row r="1532" spans="1:4" hidden="1" x14ac:dyDescent="0.25">
      <c r="A1532" t="s">
        <v>418</v>
      </c>
      <c r="B1532" t="s">
        <v>102</v>
      </c>
      <c r="C1532" s="2">
        <f>HYPERLINK("https://sao.dolgi.msk.ru/account/1404226385/", 1404226385)</f>
        <v>1404226385</v>
      </c>
      <c r="D1532">
        <v>-4688.53</v>
      </c>
    </row>
    <row r="1533" spans="1:4" hidden="1" x14ac:dyDescent="0.25">
      <c r="A1533" t="s">
        <v>418</v>
      </c>
      <c r="B1533" t="s">
        <v>103</v>
      </c>
      <c r="C1533" s="2">
        <f>HYPERLINK("https://sao.dolgi.msk.ru/account/1404226393/", 1404226393)</f>
        <v>1404226393</v>
      </c>
      <c r="D1533">
        <v>0</v>
      </c>
    </row>
    <row r="1534" spans="1:4" x14ac:dyDescent="0.25">
      <c r="A1534" t="s">
        <v>418</v>
      </c>
      <c r="B1534" t="s">
        <v>104</v>
      </c>
      <c r="C1534" s="2">
        <f>HYPERLINK("https://sao.dolgi.msk.ru/account/1404224726/", 1404224726)</f>
        <v>1404224726</v>
      </c>
      <c r="D1534">
        <v>45601.32</v>
      </c>
    </row>
    <row r="1535" spans="1:4" x14ac:dyDescent="0.25">
      <c r="A1535" t="s">
        <v>418</v>
      </c>
      <c r="B1535" t="s">
        <v>105</v>
      </c>
      <c r="C1535" s="2">
        <f>HYPERLINK("https://sao.dolgi.msk.ru/account/1404226035/", 1404226035)</f>
        <v>1404226035</v>
      </c>
      <c r="D1535">
        <v>3732.93</v>
      </c>
    </row>
    <row r="1536" spans="1:4" hidden="1" x14ac:dyDescent="0.25">
      <c r="A1536" t="s">
        <v>418</v>
      </c>
      <c r="B1536" t="s">
        <v>106</v>
      </c>
      <c r="C1536" s="2">
        <f>HYPERLINK("https://sao.dolgi.msk.ru/account/1404225921/", 1404225921)</f>
        <v>1404225921</v>
      </c>
      <c r="D1536">
        <v>0</v>
      </c>
    </row>
    <row r="1537" spans="1:4" hidden="1" x14ac:dyDescent="0.25">
      <c r="A1537" t="s">
        <v>418</v>
      </c>
      <c r="B1537" t="s">
        <v>107</v>
      </c>
      <c r="C1537" s="2">
        <f>HYPERLINK("https://sao.dolgi.msk.ru/account/1404226414/", 1404226414)</f>
        <v>1404226414</v>
      </c>
      <c r="D1537">
        <v>-6607.88</v>
      </c>
    </row>
    <row r="1538" spans="1:4" hidden="1" x14ac:dyDescent="0.25">
      <c r="A1538" t="s">
        <v>418</v>
      </c>
      <c r="B1538" t="s">
        <v>108</v>
      </c>
      <c r="C1538" s="2">
        <f>HYPERLINK("https://sao.dolgi.msk.ru/account/1404225788/", 1404225788)</f>
        <v>1404225788</v>
      </c>
      <c r="D1538">
        <v>-8475.24</v>
      </c>
    </row>
    <row r="1539" spans="1:4" hidden="1" x14ac:dyDescent="0.25">
      <c r="A1539" t="s">
        <v>418</v>
      </c>
      <c r="B1539" t="s">
        <v>109</v>
      </c>
      <c r="C1539" s="2">
        <f>HYPERLINK("https://sao.dolgi.msk.ru/account/1404225956/", 1404225956)</f>
        <v>1404225956</v>
      </c>
      <c r="D1539">
        <v>0</v>
      </c>
    </row>
    <row r="1540" spans="1:4" x14ac:dyDescent="0.25">
      <c r="A1540" t="s">
        <v>418</v>
      </c>
      <c r="B1540" t="s">
        <v>110</v>
      </c>
      <c r="C1540" s="2">
        <f>HYPERLINK("https://sao.dolgi.msk.ru/account/1404226043/", 1404226043)</f>
        <v>1404226043</v>
      </c>
      <c r="D1540">
        <v>28935.65</v>
      </c>
    </row>
    <row r="1541" spans="1:4" x14ac:dyDescent="0.25">
      <c r="A1541" t="s">
        <v>418</v>
      </c>
      <c r="B1541" t="s">
        <v>111</v>
      </c>
      <c r="C1541" s="2">
        <f>HYPERLINK("https://sao.dolgi.msk.ru/account/1404225729/", 1404225729)</f>
        <v>1404225729</v>
      </c>
      <c r="D1541">
        <v>15031.74</v>
      </c>
    </row>
    <row r="1542" spans="1:4" x14ac:dyDescent="0.25">
      <c r="A1542" t="s">
        <v>418</v>
      </c>
      <c r="B1542" t="s">
        <v>112</v>
      </c>
      <c r="C1542" s="2">
        <f>HYPERLINK("https://sao.dolgi.msk.ru/account/1404225825/", 1404225825)</f>
        <v>1404225825</v>
      </c>
      <c r="D1542">
        <v>22332.959999999999</v>
      </c>
    </row>
    <row r="1543" spans="1:4" x14ac:dyDescent="0.25">
      <c r="A1543" t="s">
        <v>418</v>
      </c>
      <c r="B1543" t="s">
        <v>113</v>
      </c>
      <c r="C1543" s="2">
        <f>HYPERLINK("https://sao.dolgi.msk.ru/account/1404225593/", 1404225593)</f>
        <v>1404225593</v>
      </c>
      <c r="D1543">
        <v>9207.86</v>
      </c>
    </row>
    <row r="1544" spans="1:4" hidden="1" x14ac:dyDescent="0.25">
      <c r="A1544" t="s">
        <v>418</v>
      </c>
      <c r="B1544" t="s">
        <v>113</v>
      </c>
      <c r="C1544" s="2">
        <f>HYPERLINK("https://sao.dolgi.msk.ru/account/1404225892/", 1404225892)</f>
        <v>1404225892</v>
      </c>
      <c r="D1544">
        <v>-2710.95</v>
      </c>
    </row>
    <row r="1545" spans="1:4" hidden="1" x14ac:dyDescent="0.25">
      <c r="A1545" t="s">
        <v>418</v>
      </c>
      <c r="B1545" t="s">
        <v>114</v>
      </c>
      <c r="C1545" s="2">
        <f>HYPERLINK("https://sao.dolgi.msk.ru/account/1404226772/", 1404226772)</f>
        <v>1404226772</v>
      </c>
      <c r="D1545">
        <v>-8178.13</v>
      </c>
    </row>
    <row r="1546" spans="1:4" hidden="1" x14ac:dyDescent="0.25">
      <c r="A1546" t="s">
        <v>418</v>
      </c>
      <c r="B1546" t="s">
        <v>115</v>
      </c>
      <c r="C1546" s="2">
        <f>HYPERLINK("https://sao.dolgi.msk.ru/account/1404225753/", 1404225753)</f>
        <v>1404225753</v>
      </c>
      <c r="D1546">
        <v>-4091.49</v>
      </c>
    </row>
    <row r="1547" spans="1:4" hidden="1" x14ac:dyDescent="0.25">
      <c r="A1547" t="s">
        <v>418</v>
      </c>
      <c r="B1547" t="s">
        <v>116</v>
      </c>
      <c r="C1547" s="2">
        <f>HYPERLINK("https://sao.dolgi.msk.ru/account/1404225948/", 1404225948)</f>
        <v>1404225948</v>
      </c>
      <c r="D1547">
        <v>0</v>
      </c>
    </row>
    <row r="1548" spans="1:4" hidden="1" x14ac:dyDescent="0.25">
      <c r="A1548" t="s">
        <v>418</v>
      </c>
      <c r="B1548" t="s">
        <v>117</v>
      </c>
      <c r="C1548" s="2">
        <f>HYPERLINK("https://sao.dolgi.msk.ru/account/1404225534/", 1404225534)</f>
        <v>1404225534</v>
      </c>
      <c r="D1548">
        <v>0</v>
      </c>
    </row>
    <row r="1549" spans="1:4" hidden="1" x14ac:dyDescent="0.25">
      <c r="A1549" t="s">
        <v>418</v>
      </c>
      <c r="B1549" t="s">
        <v>117</v>
      </c>
      <c r="C1549" s="2">
        <f>HYPERLINK("https://sao.dolgi.msk.ru/account/1404226713/", 1404226713)</f>
        <v>1404226713</v>
      </c>
      <c r="D1549">
        <v>0</v>
      </c>
    </row>
    <row r="1550" spans="1:4" hidden="1" x14ac:dyDescent="0.25">
      <c r="A1550" t="s">
        <v>418</v>
      </c>
      <c r="B1550" t="s">
        <v>118</v>
      </c>
      <c r="C1550" s="2">
        <f>HYPERLINK("https://sao.dolgi.msk.ru/account/1404224777/", 1404224777)</f>
        <v>1404224777</v>
      </c>
      <c r="D1550">
        <v>0</v>
      </c>
    </row>
    <row r="1551" spans="1:4" x14ac:dyDescent="0.25">
      <c r="A1551" t="s">
        <v>418</v>
      </c>
      <c r="B1551" t="s">
        <v>119</v>
      </c>
      <c r="C1551" s="2">
        <f>HYPERLINK("https://sao.dolgi.msk.ru/account/1404225438/", 1404225438)</f>
        <v>1404225438</v>
      </c>
      <c r="D1551">
        <v>56064.37</v>
      </c>
    </row>
    <row r="1552" spans="1:4" hidden="1" x14ac:dyDescent="0.25">
      <c r="A1552" t="s">
        <v>418</v>
      </c>
      <c r="B1552" t="s">
        <v>120</v>
      </c>
      <c r="C1552" s="2">
        <f>HYPERLINK("https://sao.dolgi.msk.ru/account/1404226676/", 1404226676)</f>
        <v>1404226676</v>
      </c>
      <c r="D1552">
        <v>-9365.43</v>
      </c>
    </row>
    <row r="1553" spans="1:4" hidden="1" x14ac:dyDescent="0.25">
      <c r="A1553" t="s">
        <v>418</v>
      </c>
      <c r="B1553" t="s">
        <v>121</v>
      </c>
      <c r="C1553" s="2">
        <f>HYPERLINK("https://sao.dolgi.msk.ru/account/1404226625/", 1404226625)</f>
        <v>1404226625</v>
      </c>
      <c r="D1553">
        <v>-8364.69</v>
      </c>
    </row>
    <row r="1554" spans="1:4" hidden="1" x14ac:dyDescent="0.25">
      <c r="A1554" t="s">
        <v>418</v>
      </c>
      <c r="B1554" t="s">
        <v>122</v>
      </c>
      <c r="C1554" s="2">
        <f>HYPERLINK("https://sao.dolgi.msk.ru/account/1404226422/", 1404226422)</f>
        <v>1404226422</v>
      </c>
      <c r="D1554">
        <v>-6073.84</v>
      </c>
    </row>
    <row r="1555" spans="1:4" hidden="1" x14ac:dyDescent="0.25">
      <c r="A1555" t="s">
        <v>418</v>
      </c>
      <c r="B1555" t="s">
        <v>123</v>
      </c>
      <c r="C1555" s="2">
        <f>HYPERLINK("https://sao.dolgi.msk.ru/account/1404226078/", 1404226078)</f>
        <v>1404226078</v>
      </c>
      <c r="D1555">
        <v>0</v>
      </c>
    </row>
    <row r="1556" spans="1:4" hidden="1" x14ac:dyDescent="0.25">
      <c r="A1556" t="s">
        <v>418</v>
      </c>
      <c r="B1556" t="s">
        <v>124</v>
      </c>
      <c r="C1556" s="2">
        <f>HYPERLINK("https://sao.dolgi.msk.ru/account/1404226326/", 1404226326)</f>
        <v>1404226326</v>
      </c>
      <c r="D1556">
        <v>-7831.22</v>
      </c>
    </row>
    <row r="1557" spans="1:4" hidden="1" x14ac:dyDescent="0.25">
      <c r="A1557" t="s">
        <v>418</v>
      </c>
      <c r="B1557" t="s">
        <v>125</v>
      </c>
      <c r="C1557" s="2">
        <f>HYPERLINK("https://sao.dolgi.msk.ru/account/1404224953/", 1404224953)</f>
        <v>1404224953</v>
      </c>
      <c r="D1557">
        <v>-7100.63</v>
      </c>
    </row>
    <row r="1558" spans="1:4" hidden="1" x14ac:dyDescent="0.25">
      <c r="A1558" t="s">
        <v>418</v>
      </c>
      <c r="B1558" t="s">
        <v>126</v>
      </c>
      <c r="C1558" s="2">
        <f>HYPERLINK("https://sao.dolgi.msk.ru/account/1404226166/", 1404226166)</f>
        <v>1404226166</v>
      </c>
      <c r="D1558">
        <v>-7910.7</v>
      </c>
    </row>
    <row r="1559" spans="1:4" hidden="1" x14ac:dyDescent="0.25">
      <c r="A1559" t="s">
        <v>418</v>
      </c>
      <c r="B1559" t="s">
        <v>127</v>
      </c>
      <c r="C1559" s="2">
        <f>HYPERLINK("https://sao.dolgi.msk.ru/account/1404226641/", 1404226641)</f>
        <v>1404226641</v>
      </c>
      <c r="D1559">
        <v>-4844.09</v>
      </c>
    </row>
    <row r="1560" spans="1:4" hidden="1" x14ac:dyDescent="0.25">
      <c r="A1560" t="s">
        <v>418</v>
      </c>
      <c r="B1560" t="s">
        <v>128</v>
      </c>
      <c r="C1560" s="2">
        <f>HYPERLINK("https://sao.dolgi.msk.ru/account/1404226289/", 1404226289)</f>
        <v>1404226289</v>
      </c>
      <c r="D1560">
        <v>-6461.33</v>
      </c>
    </row>
    <row r="1561" spans="1:4" hidden="1" x14ac:dyDescent="0.25">
      <c r="A1561" t="s">
        <v>418</v>
      </c>
      <c r="B1561" t="s">
        <v>129</v>
      </c>
      <c r="C1561" s="2">
        <f>HYPERLINK("https://sao.dolgi.msk.ru/account/1404226617/", 1404226617)</f>
        <v>1404226617</v>
      </c>
      <c r="D1561">
        <v>-10109.02</v>
      </c>
    </row>
    <row r="1562" spans="1:4" hidden="1" x14ac:dyDescent="0.25">
      <c r="A1562" t="s">
        <v>418</v>
      </c>
      <c r="B1562" t="s">
        <v>130</v>
      </c>
      <c r="C1562" s="2">
        <f>HYPERLINK("https://sao.dolgi.msk.ru/account/1404224793/", 1404224793)</f>
        <v>1404224793</v>
      </c>
      <c r="D1562">
        <v>-4097.38</v>
      </c>
    </row>
    <row r="1563" spans="1:4" x14ac:dyDescent="0.25">
      <c r="A1563" t="s">
        <v>418</v>
      </c>
      <c r="B1563" t="s">
        <v>131</v>
      </c>
      <c r="C1563" s="2">
        <f>HYPERLINK("https://sao.dolgi.msk.ru/account/1404224945/", 1404224945)</f>
        <v>1404224945</v>
      </c>
      <c r="D1563">
        <v>6287.52</v>
      </c>
    </row>
    <row r="1564" spans="1:4" hidden="1" x14ac:dyDescent="0.25">
      <c r="A1564" t="s">
        <v>418</v>
      </c>
      <c r="B1564" t="s">
        <v>132</v>
      </c>
      <c r="C1564" s="2">
        <f>HYPERLINK("https://sao.dolgi.msk.ru/account/1404225964/", 1404225964)</f>
        <v>1404225964</v>
      </c>
      <c r="D1564">
        <v>-11579.23</v>
      </c>
    </row>
    <row r="1565" spans="1:4" hidden="1" x14ac:dyDescent="0.25">
      <c r="A1565" t="s">
        <v>418</v>
      </c>
      <c r="B1565" t="s">
        <v>133</v>
      </c>
      <c r="C1565" s="2">
        <f>HYPERLINK("https://sao.dolgi.msk.ru/account/1404224734/", 1404224734)</f>
        <v>1404224734</v>
      </c>
      <c r="D1565">
        <v>0</v>
      </c>
    </row>
    <row r="1566" spans="1:4" hidden="1" x14ac:dyDescent="0.25">
      <c r="A1566" t="s">
        <v>418</v>
      </c>
      <c r="B1566" t="s">
        <v>134</v>
      </c>
      <c r="C1566" s="2">
        <f>HYPERLINK("https://sao.dolgi.msk.ru/account/1404225745/", 1404225745)</f>
        <v>1404225745</v>
      </c>
      <c r="D1566">
        <v>-5088.9799999999996</v>
      </c>
    </row>
    <row r="1567" spans="1:4" hidden="1" x14ac:dyDescent="0.25">
      <c r="A1567" t="s">
        <v>418</v>
      </c>
      <c r="B1567" t="s">
        <v>135</v>
      </c>
      <c r="C1567" s="2">
        <f>HYPERLINK("https://sao.dolgi.msk.ru/account/1404226465/", 1404226465)</f>
        <v>1404226465</v>
      </c>
      <c r="D1567">
        <v>-7952.56</v>
      </c>
    </row>
    <row r="1568" spans="1:4" hidden="1" x14ac:dyDescent="0.25">
      <c r="A1568" t="s">
        <v>418</v>
      </c>
      <c r="B1568" t="s">
        <v>136</v>
      </c>
      <c r="C1568" s="2">
        <f>HYPERLINK("https://sao.dolgi.msk.ru/account/1404225278/", 1404225278)</f>
        <v>1404225278</v>
      </c>
      <c r="D1568">
        <v>-9547.23</v>
      </c>
    </row>
    <row r="1569" spans="1:4" hidden="1" x14ac:dyDescent="0.25">
      <c r="A1569" t="s">
        <v>418</v>
      </c>
      <c r="B1569" t="s">
        <v>137</v>
      </c>
      <c r="C1569" s="2">
        <f>HYPERLINK("https://sao.dolgi.msk.ru/account/1404225833/", 1404225833)</f>
        <v>1404225833</v>
      </c>
      <c r="D1569">
        <v>-10274.450000000001</v>
      </c>
    </row>
    <row r="1570" spans="1:4" hidden="1" x14ac:dyDescent="0.25">
      <c r="A1570" t="s">
        <v>418</v>
      </c>
      <c r="B1570" t="s">
        <v>138</v>
      </c>
      <c r="C1570" s="2">
        <f>HYPERLINK("https://sao.dolgi.msk.ru/account/1404225024/", 1404225024)</f>
        <v>1404225024</v>
      </c>
      <c r="D1570">
        <v>-5879.67</v>
      </c>
    </row>
    <row r="1571" spans="1:4" hidden="1" x14ac:dyDescent="0.25">
      <c r="A1571" t="s">
        <v>418</v>
      </c>
      <c r="B1571" t="s">
        <v>139</v>
      </c>
      <c r="C1571" s="2">
        <f>HYPERLINK("https://sao.dolgi.msk.ru/account/1404226481/", 1404226481)</f>
        <v>1404226481</v>
      </c>
      <c r="D1571">
        <v>-6516.03</v>
      </c>
    </row>
    <row r="1572" spans="1:4" x14ac:dyDescent="0.25">
      <c r="A1572" t="s">
        <v>418</v>
      </c>
      <c r="B1572" t="s">
        <v>140</v>
      </c>
      <c r="C1572" s="2">
        <f>HYPERLINK("https://sao.dolgi.msk.ru/account/1404226334/", 1404226334)</f>
        <v>1404226334</v>
      </c>
      <c r="D1572">
        <v>4850.3500000000004</v>
      </c>
    </row>
    <row r="1573" spans="1:4" x14ac:dyDescent="0.25">
      <c r="A1573" t="s">
        <v>418</v>
      </c>
      <c r="B1573" t="s">
        <v>141</v>
      </c>
      <c r="C1573" s="2">
        <f>HYPERLINK("https://sao.dolgi.msk.ru/account/1404225569/", 1404225569)</f>
        <v>1404225569</v>
      </c>
      <c r="D1573">
        <v>14425.25</v>
      </c>
    </row>
    <row r="1574" spans="1:4" hidden="1" x14ac:dyDescent="0.25">
      <c r="A1574" t="s">
        <v>418</v>
      </c>
      <c r="B1574" t="s">
        <v>142</v>
      </c>
      <c r="C1574" s="2">
        <f>HYPERLINK("https://sao.dolgi.msk.ru/account/1404225577/", 1404225577)</f>
        <v>1404225577</v>
      </c>
      <c r="D1574">
        <v>-7539.97</v>
      </c>
    </row>
    <row r="1575" spans="1:4" hidden="1" x14ac:dyDescent="0.25">
      <c r="A1575" t="s">
        <v>418</v>
      </c>
      <c r="B1575" t="s">
        <v>143</v>
      </c>
      <c r="C1575" s="2">
        <f>HYPERLINK("https://sao.dolgi.msk.ru/account/1404224611/", 1404224611)</f>
        <v>1404224611</v>
      </c>
      <c r="D1575">
        <v>0</v>
      </c>
    </row>
    <row r="1576" spans="1:4" hidden="1" x14ac:dyDescent="0.25">
      <c r="A1576" t="s">
        <v>418</v>
      </c>
      <c r="B1576" t="s">
        <v>144</v>
      </c>
      <c r="C1576" s="2">
        <f>HYPERLINK("https://sao.dolgi.msk.ru/account/1404226609/", 1404226609)</f>
        <v>1404226609</v>
      </c>
      <c r="D1576">
        <v>-8808.68</v>
      </c>
    </row>
    <row r="1577" spans="1:4" hidden="1" x14ac:dyDescent="0.25">
      <c r="A1577" t="s">
        <v>418</v>
      </c>
      <c r="B1577" t="s">
        <v>145</v>
      </c>
      <c r="C1577" s="2">
        <f>HYPERLINK("https://sao.dolgi.msk.ru/account/1404226086/", 1404226086)</f>
        <v>1404226086</v>
      </c>
      <c r="D1577">
        <v>-9034.57</v>
      </c>
    </row>
    <row r="1578" spans="1:4" hidden="1" x14ac:dyDescent="0.25">
      <c r="A1578" t="s">
        <v>418</v>
      </c>
      <c r="B1578" t="s">
        <v>146</v>
      </c>
      <c r="C1578" s="2">
        <f>HYPERLINK("https://sao.dolgi.msk.ru/account/1404224638/", 1404224638)</f>
        <v>1404224638</v>
      </c>
      <c r="D1578">
        <v>0</v>
      </c>
    </row>
    <row r="1579" spans="1:4" hidden="1" x14ac:dyDescent="0.25">
      <c r="A1579" t="s">
        <v>418</v>
      </c>
      <c r="B1579" t="s">
        <v>147</v>
      </c>
      <c r="C1579" s="2">
        <f>HYPERLINK("https://sao.dolgi.msk.ru/account/1404225681/", 1404225681)</f>
        <v>1404225681</v>
      </c>
      <c r="D1579">
        <v>-5761.19</v>
      </c>
    </row>
    <row r="1580" spans="1:4" hidden="1" x14ac:dyDescent="0.25">
      <c r="A1580" t="s">
        <v>418</v>
      </c>
      <c r="B1580" t="s">
        <v>148</v>
      </c>
      <c r="C1580" s="2">
        <f>HYPERLINK("https://sao.dolgi.msk.ru/account/1404226502/", 1404226502)</f>
        <v>1404226502</v>
      </c>
      <c r="D1580">
        <v>-5150.67</v>
      </c>
    </row>
    <row r="1581" spans="1:4" hidden="1" x14ac:dyDescent="0.25">
      <c r="A1581" t="s">
        <v>418</v>
      </c>
      <c r="B1581" t="s">
        <v>149</v>
      </c>
      <c r="C1581" s="2">
        <f>HYPERLINK("https://sao.dolgi.msk.ru/account/1404225518/", 1404225518)</f>
        <v>1404225518</v>
      </c>
      <c r="D1581">
        <v>0</v>
      </c>
    </row>
    <row r="1582" spans="1:4" hidden="1" x14ac:dyDescent="0.25">
      <c r="A1582" t="s">
        <v>418</v>
      </c>
      <c r="B1582" t="s">
        <v>150</v>
      </c>
      <c r="C1582" s="2">
        <f>HYPERLINK("https://sao.dolgi.msk.ru/account/1404226262/", 1404226262)</f>
        <v>1404226262</v>
      </c>
      <c r="D1582">
        <v>0</v>
      </c>
    </row>
    <row r="1583" spans="1:4" x14ac:dyDescent="0.25">
      <c r="A1583" t="s">
        <v>418</v>
      </c>
      <c r="B1583" t="s">
        <v>151</v>
      </c>
      <c r="C1583" s="2">
        <f>HYPERLINK("https://sao.dolgi.msk.ru/account/1404224566/", 1404224566)</f>
        <v>1404224566</v>
      </c>
      <c r="D1583">
        <v>18095.97</v>
      </c>
    </row>
    <row r="1584" spans="1:4" hidden="1" x14ac:dyDescent="0.25">
      <c r="A1584" t="s">
        <v>418</v>
      </c>
      <c r="B1584" t="s">
        <v>152</v>
      </c>
      <c r="C1584" s="2">
        <f>HYPERLINK("https://sao.dolgi.msk.ru/account/1404225542/", 1404225542)</f>
        <v>1404225542</v>
      </c>
      <c r="D1584">
        <v>0</v>
      </c>
    </row>
    <row r="1585" spans="1:4" hidden="1" x14ac:dyDescent="0.25">
      <c r="A1585" t="s">
        <v>418</v>
      </c>
      <c r="B1585" t="s">
        <v>153</v>
      </c>
      <c r="C1585" s="2">
        <f>HYPERLINK("https://sao.dolgi.msk.ru/account/1404225294/", 1404225294)</f>
        <v>1404225294</v>
      </c>
      <c r="D1585">
        <v>0</v>
      </c>
    </row>
    <row r="1586" spans="1:4" hidden="1" x14ac:dyDescent="0.25">
      <c r="A1586" t="s">
        <v>418</v>
      </c>
      <c r="B1586" t="s">
        <v>154</v>
      </c>
      <c r="C1586" s="2">
        <f>HYPERLINK("https://sao.dolgi.msk.ru/account/1404225403/", 1404225403)</f>
        <v>1404225403</v>
      </c>
      <c r="D1586">
        <v>0</v>
      </c>
    </row>
    <row r="1587" spans="1:4" x14ac:dyDescent="0.25">
      <c r="A1587" t="s">
        <v>418</v>
      </c>
      <c r="B1587" t="s">
        <v>155</v>
      </c>
      <c r="C1587" s="2">
        <f>HYPERLINK("https://sao.dolgi.msk.ru/account/1404225868/", 1404225868)</f>
        <v>1404225868</v>
      </c>
      <c r="D1587">
        <v>9757.14</v>
      </c>
    </row>
    <row r="1588" spans="1:4" x14ac:dyDescent="0.25">
      <c r="A1588" t="s">
        <v>418</v>
      </c>
      <c r="B1588" t="s">
        <v>156</v>
      </c>
      <c r="C1588" s="2">
        <f>HYPERLINK("https://sao.dolgi.msk.ru/account/1404225761/", 1404225761)</f>
        <v>1404225761</v>
      </c>
      <c r="D1588">
        <v>5847.58</v>
      </c>
    </row>
    <row r="1589" spans="1:4" hidden="1" x14ac:dyDescent="0.25">
      <c r="A1589" t="s">
        <v>418</v>
      </c>
      <c r="B1589" t="s">
        <v>157</v>
      </c>
      <c r="C1589" s="2">
        <f>HYPERLINK("https://sao.dolgi.msk.ru/account/1404225702/", 1404225702)</f>
        <v>1404225702</v>
      </c>
      <c r="D1589">
        <v>-10578.75</v>
      </c>
    </row>
    <row r="1590" spans="1:4" hidden="1" x14ac:dyDescent="0.25">
      <c r="A1590" t="s">
        <v>418</v>
      </c>
      <c r="B1590" t="s">
        <v>158</v>
      </c>
      <c r="C1590" s="2">
        <f>HYPERLINK("https://sao.dolgi.msk.ru/account/1404225737/", 1404225737)</f>
        <v>1404225737</v>
      </c>
      <c r="D1590">
        <v>-8461.26</v>
      </c>
    </row>
    <row r="1591" spans="1:4" x14ac:dyDescent="0.25">
      <c r="A1591" t="s">
        <v>418</v>
      </c>
      <c r="B1591" t="s">
        <v>159</v>
      </c>
      <c r="C1591" s="2">
        <f>HYPERLINK("https://sao.dolgi.msk.ru/account/1404224646/", 1404224646)</f>
        <v>1404224646</v>
      </c>
      <c r="D1591">
        <v>15202.83</v>
      </c>
    </row>
    <row r="1592" spans="1:4" x14ac:dyDescent="0.25">
      <c r="A1592" t="s">
        <v>418</v>
      </c>
      <c r="B1592" t="s">
        <v>160</v>
      </c>
      <c r="C1592" s="2">
        <f>HYPERLINK("https://sao.dolgi.msk.ru/account/1404224822/", 1404224822)</f>
        <v>1404224822</v>
      </c>
      <c r="D1592">
        <v>616.96</v>
      </c>
    </row>
    <row r="1593" spans="1:4" hidden="1" x14ac:dyDescent="0.25">
      <c r="A1593" t="s">
        <v>418</v>
      </c>
      <c r="B1593" t="s">
        <v>161</v>
      </c>
      <c r="C1593" s="2">
        <f>HYPERLINK("https://sao.dolgi.msk.ru/account/1404226131/", 1404226131)</f>
        <v>1404226131</v>
      </c>
      <c r="D1593">
        <v>0</v>
      </c>
    </row>
    <row r="1594" spans="1:4" hidden="1" x14ac:dyDescent="0.25">
      <c r="A1594" t="s">
        <v>418</v>
      </c>
      <c r="B1594" t="s">
        <v>162</v>
      </c>
      <c r="C1594" s="2">
        <f>HYPERLINK("https://sao.dolgi.msk.ru/account/1404225227/", 1404225227)</f>
        <v>1404225227</v>
      </c>
      <c r="D1594">
        <v>0</v>
      </c>
    </row>
    <row r="1595" spans="1:4" hidden="1" x14ac:dyDescent="0.25">
      <c r="A1595" t="s">
        <v>418</v>
      </c>
      <c r="B1595" t="s">
        <v>163</v>
      </c>
      <c r="C1595" s="2">
        <f>HYPERLINK("https://sao.dolgi.msk.ru/account/1404225462/", 1404225462)</f>
        <v>1404225462</v>
      </c>
      <c r="D1595">
        <v>-4409.54</v>
      </c>
    </row>
    <row r="1596" spans="1:4" hidden="1" x14ac:dyDescent="0.25">
      <c r="A1596" t="s">
        <v>418</v>
      </c>
      <c r="B1596" t="s">
        <v>164</v>
      </c>
      <c r="C1596" s="2">
        <f>HYPERLINK("https://sao.dolgi.msk.ru/account/1404226342/", 1404226342)</f>
        <v>1404226342</v>
      </c>
      <c r="D1596">
        <v>-10151.120000000001</v>
      </c>
    </row>
    <row r="1597" spans="1:4" hidden="1" x14ac:dyDescent="0.25">
      <c r="A1597" t="s">
        <v>418</v>
      </c>
      <c r="B1597" t="s">
        <v>165</v>
      </c>
      <c r="C1597" s="2">
        <f>HYPERLINK("https://sao.dolgi.msk.ru/account/1404226027/", 1404226027)</f>
        <v>1404226027</v>
      </c>
      <c r="D1597">
        <v>-9553.19</v>
      </c>
    </row>
    <row r="1598" spans="1:4" hidden="1" x14ac:dyDescent="0.25">
      <c r="A1598" t="s">
        <v>418</v>
      </c>
      <c r="B1598" t="s">
        <v>166</v>
      </c>
      <c r="C1598" s="2">
        <f>HYPERLINK("https://sao.dolgi.msk.ru/account/1404226721/", 1404226721)</f>
        <v>1404226721</v>
      </c>
      <c r="D1598">
        <v>-5467.13</v>
      </c>
    </row>
    <row r="1599" spans="1:4" hidden="1" x14ac:dyDescent="0.25">
      <c r="A1599" t="s">
        <v>418</v>
      </c>
      <c r="B1599" t="s">
        <v>167</v>
      </c>
      <c r="C1599" s="2">
        <f>HYPERLINK("https://sao.dolgi.msk.ru/account/1404225075/", 1404225075)</f>
        <v>1404225075</v>
      </c>
      <c r="D1599">
        <v>-10381</v>
      </c>
    </row>
    <row r="1600" spans="1:4" hidden="1" x14ac:dyDescent="0.25">
      <c r="A1600" t="s">
        <v>418</v>
      </c>
      <c r="B1600" t="s">
        <v>168</v>
      </c>
      <c r="C1600" s="2">
        <f>HYPERLINK("https://sao.dolgi.msk.ru/account/1404226748/", 1404226748)</f>
        <v>1404226748</v>
      </c>
      <c r="D1600">
        <v>-5666.01</v>
      </c>
    </row>
    <row r="1601" spans="1:4" hidden="1" x14ac:dyDescent="0.25">
      <c r="A1601" t="s">
        <v>418</v>
      </c>
      <c r="B1601" t="s">
        <v>169</v>
      </c>
      <c r="C1601" s="2">
        <f>HYPERLINK("https://sao.dolgi.msk.ru/account/1404224582/", 1404224582)</f>
        <v>1404224582</v>
      </c>
      <c r="D1601">
        <v>-10819.45</v>
      </c>
    </row>
    <row r="1602" spans="1:4" hidden="1" x14ac:dyDescent="0.25">
      <c r="A1602" t="s">
        <v>418</v>
      </c>
      <c r="B1602" t="s">
        <v>170</v>
      </c>
      <c r="C1602" s="2">
        <f>HYPERLINK("https://sao.dolgi.msk.ru/account/1404225366/", 1404225366)</f>
        <v>1404225366</v>
      </c>
      <c r="D1602">
        <v>0</v>
      </c>
    </row>
    <row r="1603" spans="1:4" hidden="1" x14ac:dyDescent="0.25">
      <c r="A1603" t="s">
        <v>418</v>
      </c>
      <c r="B1603" t="s">
        <v>171</v>
      </c>
      <c r="C1603" s="2">
        <f>HYPERLINK("https://sao.dolgi.msk.ru/account/1404225139/", 1404225139)</f>
        <v>1404225139</v>
      </c>
      <c r="D1603">
        <v>-5161.28</v>
      </c>
    </row>
    <row r="1604" spans="1:4" hidden="1" x14ac:dyDescent="0.25">
      <c r="A1604" t="s">
        <v>418</v>
      </c>
      <c r="B1604" t="s">
        <v>172</v>
      </c>
      <c r="C1604" s="2">
        <f>HYPERLINK("https://sao.dolgi.msk.ru/account/1404225585/", 1404225585)</f>
        <v>1404225585</v>
      </c>
      <c r="D1604">
        <v>0</v>
      </c>
    </row>
    <row r="1605" spans="1:4" hidden="1" x14ac:dyDescent="0.25">
      <c r="A1605" t="s">
        <v>418</v>
      </c>
      <c r="B1605" t="s">
        <v>173</v>
      </c>
      <c r="C1605" s="2">
        <f>HYPERLINK("https://sao.dolgi.msk.ru/account/1404226756/", 1404226756)</f>
        <v>1404226756</v>
      </c>
      <c r="D1605">
        <v>-13945.82</v>
      </c>
    </row>
    <row r="1606" spans="1:4" x14ac:dyDescent="0.25">
      <c r="A1606" t="s">
        <v>418</v>
      </c>
      <c r="B1606" t="s">
        <v>174</v>
      </c>
      <c r="C1606" s="2">
        <f>HYPERLINK("https://sao.dolgi.msk.ru/account/1404225323/", 1404225323)</f>
        <v>1404225323</v>
      </c>
      <c r="D1606">
        <v>9374.14</v>
      </c>
    </row>
    <row r="1607" spans="1:4" hidden="1" x14ac:dyDescent="0.25">
      <c r="A1607" t="s">
        <v>418</v>
      </c>
      <c r="B1607" t="s">
        <v>175</v>
      </c>
      <c r="C1607" s="2">
        <f>HYPERLINK("https://sao.dolgi.msk.ru/account/1404224769/", 1404224769)</f>
        <v>1404224769</v>
      </c>
      <c r="D1607">
        <v>-6535.9</v>
      </c>
    </row>
    <row r="1608" spans="1:4" x14ac:dyDescent="0.25">
      <c r="A1608" t="s">
        <v>418</v>
      </c>
      <c r="B1608" t="s">
        <v>176</v>
      </c>
      <c r="C1608" s="2">
        <f>HYPERLINK("https://sao.dolgi.msk.ru/account/1404225841/", 1404225841)</f>
        <v>1404225841</v>
      </c>
      <c r="D1608">
        <v>20131.7</v>
      </c>
    </row>
    <row r="1609" spans="1:4" hidden="1" x14ac:dyDescent="0.25">
      <c r="A1609" t="s">
        <v>418</v>
      </c>
      <c r="B1609" t="s">
        <v>177</v>
      </c>
      <c r="C1609" s="2">
        <f>HYPERLINK("https://sao.dolgi.msk.ru/account/1404224662/", 1404224662)</f>
        <v>1404224662</v>
      </c>
      <c r="D1609">
        <v>0</v>
      </c>
    </row>
    <row r="1610" spans="1:4" x14ac:dyDescent="0.25">
      <c r="A1610" t="s">
        <v>418</v>
      </c>
      <c r="B1610" t="s">
        <v>178</v>
      </c>
      <c r="C1610" s="2">
        <f>HYPERLINK("https://sao.dolgi.msk.ru/account/1404225526/", 1404225526)</f>
        <v>1404225526</v>
      </c>
      <c r="D1610">
        <v>65845.89</v>
      </c>
    </row>
    <row r="1611" spans="1:4" hidden="1" x14ac:dyDescent="0.25">
      <c r="A1611" t="s">
        <v>418</v>
      </c>
      <c r="B1611" t="s">
        <v>179</v>
      </c>
      <c r="C1611" s="2">
        <f>HYPERLINK("https://sao.dolgi.msk.ru/account/1404226318/", 1404226318)</f>
        <v>1404226318</v>
      </c>
      <c r="D1611">
        <v>0</v>
      </c>
    </row>
    <row r="1612" spans="1:4" hidden="1" x14ac:dyDescent="0.25">
      <c r="A1612" t="s">
        <v>418</v>
      </c>
      <c r="B1612" t="s">
        <v>180</v>
      </c>
      <c r="C1612" s="2">
        <f>HYPERLINK("https://sao.dolgi.msk.ru/account/1404225112/", 1404225112)</f>
        <v>1404225112</v>
      </c>
      <c r="D1612">
        <v>-9277.8700000000008</v>
      </c>
    </row>
    <row r="1613" spans="1:4" x14ac:dyDescent="0.25">
      <c r="A1613" t="s">
        <v>419</v>
      </c>
      <c r="B1613" t="s">
        <v>420</v>
      </c>
      <c r="C1613" s="2">
        <f>HYPERLINK("https://sao.dolgi.msk.ru/account/1404227927/", 1404227927)</f>
        <v>1404227927</v>
      </c>
      <c r="D1613">
        <v>83337.119999999995</v>
      </c>
    </row>
    <row r="1614" spans="1:4" hidden="1" x14ac:dyDescent="0.25">
      <c r="A1614" t="s">
        <v>419</v>
      </c>
      <c r="B1614" t="s">
        <v>5</v>
      </c>
      <c r="C1614" s="2">
        <f>HYPERLINK("https://sao.dolgi.msk.ru/account/1404229674/", 1404229674)</f>
        <v>1404229674</v>
      </c>
      <c r="D1614">
        <v>-6814.86</v>
      </c>
    </row>
    <row r="1615" spans="1:4" hidden="1" x14ac:dyDescent="0.25">
      <c r="A1615" t="s">
        <v>419</v>
      </c>
      <c r="B1615" t="s">
        <v>6</v>
      </c>
      <c r="C1615" s="2">
        <f>HYPERLINK("https://sao.dolgi.msk.ru/account/1404228823/", 1404228823)</f>
        <v>1404228823</v>
      </c>
      <c r="D1615">
        <v>-9275.4500000000007</v>
      </c>
    </row>
    <row r="1616" spans="1:4" hidden="1" x14ac:dyDescent="0.25">
      <c r="A1616" t="s">
        <v>419</v>
      </c>
      <c r="B1616" t="s">
        <v>7</v>
      </c>
      <c r="C1616" s="2">
        <f>HYPERLINK("https://sao.dolgi.msk.ru/account/1404232398/", 1404232398)</f>
        <v>1404232398</v>
      </c>
      <c r="D1616">
        <v>-5519.57</v>
      </c>
    </row>
    <row r="1617" spans="1:4" x14ac:dyDescent="0.25">
      <c r="A1617" t="s">
        <v>419</v>
      </c>
      <c r="B1617" t="s">
        <v>8</v>
      </c>
      <c r="C1617" s="2">
        <f>HYPERLINK("https://sao.dolgi.msk.ru/account/1404230501/", 1404230501)</f>
        <v>1404230501</v>
      </c>
      <c r="D1617">
        <v>12619.72</v>
      </c>
    </row>
    <row r="1618" spans="1:4" hidden="1" x14ac:dyDescent="0.25">
      <c r="A1618" t="s">
        <v>419</v>
      </c>
      <c r="B1618" t="s">
        <v>9</v>
      </c>
      <c r="C1618" s="2">
        <f>HYPERLINK("https://sao.dolgi.msk.ru/account/1404230528/", 1404230528)</f>
        <v>1404230528</v>
      </c>
      <c r="D1618">
        <v>0</v>
      </c>
    </row>
    <row r="1619" spans="1:4" hidden="1" x14ac:dyDescent="0.25">
      <c r="A1619" t="s">
        <v>419</v>
      </c>
      <c r="B1619" t="s">
        <v>10</v>
      </c>
      <c r="C1619" s="2">
        <f>HYPERLINK("https://sao.dolgi.msk.ru/account/1404226887/", 1404226887)</f>
        <v>1404226887</v>
      </c>
      <c r="D1619">
        <v>-4001.21</v>
      </c>
    </row>
    <row r="1620" spans="1:4" hidden="1" x14ac:dyDescent="0.25">
      <c r="A1620" t="s">
        <v>419</v>
      </c>
      <c r="B1620" t="s">
        <v>11</v>
      </c>
      <c r="C1620" s="2">
        <f>HYPERLINK("https://sao.dolgi.msk.ru/account/1404230536/", 1404230536)</f>
        <v>1404230536</v>
      </c>
      <c r="D1620">
        <v>0</v>
      </c>
    </row>
    <row r="1621" spans="1:4" hidden="1" x14ac:dyDescent="0.25">
      <c r="A1621" t="s">
        <v>419</v>
      </c>
      <c r="B1621" t="s">
        <v>12</v>
      </c>
      <c r="C1621" s="2">
        <f>HYPERLINK("https://sao.dolgi.msk.ru/account/1404233526/", 1404233526)</f>
        <v>1404233526</v>
      </c>
      <c r="D1621">
        <v>0</v>
      </c>
    </row>
    <row r="1622" spans="1:4" hidden="1" x14ac:dyDescent="0.25">
      <c r="A1622" t="s">
        <v>419</v>
      </c>
      <c r="B1622" t="s">
        <v>13</v>
      </c>
      <c r="C1622" s="2">
        <f>HYPERLINK("https://sao.dolgi.msk.ru/account/1404233542/", 1404233542)</f>
        <v>1404233542</v>
      </c>
      <c r="D1622">
        <v>-7324.5</v>
      </c>
    </row>
    <row r="1623" spans="1:4" hidden="1" x14ac:dyDescent="0.25">
      <c r="A1623" t="s">
        <v>419</v>
      </c>
      <c r="B1623" t="s">
        <v>14</v>
      </c>
      <c r="C1623" s="2">
        <f>HYPERLINK("https://sao.dolgi.msk.ru/account/1404231088/", 1404231088)</f>
        <v>1404231088</v>
      </c>
      <c r="D1623">
        <v>-4200.18</v>
      </c>
    </row>
    <row r="1624" spans="1:4" hidden="1" x14ac:dyDescent="0.25">
      <c r="A1624" t="s">
        <v>419</v>
      </c>
      <c r="B1624" t="s">
        <v>14</v>
      </c>
      <c r="C1624" s="2">
        <f>HYPERLINK("https://sao.dolgi.msk.ru/account/1404232355/", 1404232355)</f>
        <v>1404232355</v>
      </c>
      <c r="D1624">
        <v>-4192.08</v>
      </c>
    </row>
    <row r="1625" spans="1:4" hidden="1" x14ac:dyDescent="0.25">
      <c r="A1625" t="s">
        <v>419</v>
      </c>
      <c r="B1625" t="s">
        <v>15</v>
      </c>
      <c r="C1625" s="2">
        <f>HYPERLINK("https://sao.dolgi.msk.ru/account/1404229586/", 1404229586)</f>
        <v>1404229586</v>
      </c>
      <c r="D1625">
        <v>0</v>
      </c>
    </row>
    <row r="1626" spans="1:4" hidden="1" x14ac:dyDescent="0.25">
      <c r="A1626" t="s">
        <v>419</v>
      </c>
      <c r="B1626" t="s">
        <v>16</v>
      </c>
      <c r="C1626" s="2">
        <f>HYPERLINK("https://sao.dolgi.msk.ru/account/1404233382/", 1404233382)</f>
        <v>1404233382</v>
      </c>
      <c r="D1626">
        <v>0</v>
      </c>
    </row>
    <row r="1627" spans="1:4" hidden="1" x14ac:dyDescent="0.25">
      <c r="A1627" t="s">
        <v>419</v>
      </c>
      <c r="B1627" t="s">
        <v>17</v>
      </c>
      <c r="C1627" s="2">
        <f>HYPERLINK("https://sao.dolgi.msk.ru/account/1404226799/", 1404226799)</f>
        <v>1404226799</v>
      </c>
      <c r="D1627">
        <v>-7036.41</v>
      </c>
    </row>
    <row r="1628" spans="1:4" hidden="1" x14ac:dyDescent="0.25">
      <c r="A1628" t="s">
        <v>419</v>
      </c>
      <c r="B1628" t="s">
        <v>18</v>
      </c>
      <c r="C1628" s="2">
        <f>HYPERLINK("https://sao.dolgi.msk.ru/account/1404226801/", 1404226801)</f>
        <v>1404226801</v>
      </c>
      <c r="D1628">
        <v>0</v>
      </c>
    </row>
    <row r="1629" spans="1:4" hidden="1" x14ac:dyDescent="0.25">
      <c r="A1629" t="s">
        <v>419</v>
      </c>
      <c r="B1629" t="s">
        <v>19</v>
      </c>
      <c r="C1629" s="2">
        <f>HYPERLINK("https://sao.dolgi.msk.ru/account/1404230456/", 1404230456)</f>
        <v>1404230456</v>
      </c>
      <c r="D1629">
        <v>0</v>
      </c>
    </row>
    <row r="1630" spans="1:4" hidden="1" x14ac:dyDescent="0.25">
      <c r="A1630" t="s">
        <v>419</v>
      </c>
      <c r="B1630" t="s">
        <v>20</v>
      </c>
      <c r="C1630" s="2">
        <f>HYPERLINK("https://sao.dolgi.msk.ru/account/1404231301/", 1404231301)</f>
        <v>1404231301</v>
      </c>
      <c r="D1630">
        <v>-9399.2800000000007</v>
      </c>
    </row>
    <row r="1631" spans="1:4" x14ac:dyDescent="0.25">
      <c r="A1631" t="s">
        <v>419</v>
      </c>
      <c r="B1631" t="s">
        <v>21</v>
      </c>
      <c r="C1631" s="2">
        <f>HYPERLINK("https://sao.dolgi.msk.ru/account/1404233403/", 1404233403)</f>
        <v>1404233403</v>
      </c>
      <c r="D1631">
        <v>10360.59</v>
      </c>
    </row>
    <row r="1632" spans="1:4" hidden="1" x14ac:dyDescent="0.25">
      <c r="A1632" t="s">
        <v>419</v>
      </c>
      <c r="B1632" t="s">
        <v>22</v>
      </c>
      <c r="C1632" s="2">
        <f>HYPERLINK("https://sao.dolgi.msk.ru/account/1404233411/", 1404233411)</f>
        <v>1404233411</v>
      </c>
      <c r="D1632">
        <v>-3786.51</v>
      </c>
    </row>
    <row r="1633" spans="1:4" hidden="1" x14ac:dyDescent="0.25">
      <c r="A1633" t="s">
        <v>419</v>
      </c>
      <c r="B1633" t="s">
        <v>23</v>
      </c>
      <c r="C1633" s="2">
        <f>HYPERLINK("https://sao.dolgi.msk.ru/account/1404228604/", 1404228604)</f>
        <v>1404228604</v>
      </c>
      <c r="D1633">
        <v>-2653.69</v>
      </c>
    </row>
    <row r="1634" spans="1:4" x14ac:dyDescent="0.25">
      <c r="A1634" t="s">
        <v>419</v>
      </c>
      <c r="B1634" t="s">
        <v>24</v>
      </c>
      <c r="C1634" s="2">
        <f>HYPERLINK("https://sao.dolgi.msk.ru/account/1404232187/", 1404232187)</f>
        <v>1404232187</v>
      </c>
      <c r="D1634">
        <v>1787.48</v>
      </c>
    </row>
    <row r="1635" spans="1:4" x14ac:dyDescent="0.25">
      <c r="A1635" t="s">
        <v>419</v>
      </c>
      <c r="B1635" t="s">
        <v>25</v>
      </c>
      <c r="C1635" s="2">
        <f>HYPERLINK("https://sao.dolgi.msk.ru/account/1404231168/", 1404231168)</f>
        <v>1404231168</v>
      </c>
      <c r="D1635">
        <v>10081.200000000001</v>
      </c>
    </row>
    <row r="1636" spans="1:4" hidden="1" x14ac:dyDescent="0.25">
      <c r="A1636" t="s">
        <v>419</v>
      </c>
      <c r="B1636" t="s">
        <v>26</v>
      </c>
      <c r="C1636" s="2">
        <f>HYPERLINK("https://sao.dolgi.msk.ru/account/1404232195/", 1404232195)</f>
        <v>1404232195</v>
      </c>
      <c r="D1636">
        <v>-4946.8</v>
      </c>
    </row>
    <row r="1637" spans="1:4" hidden="1" x14ac:dyDescent="0.25">
      <c r="A1637" t="s">
        <v>419</v>
      </c>
      <c r="B1637" t="s">
        <v>27</v>
      </c>
      <c r="C1637" s="2">
        <f>HYPERLINK("https://sao.dolgi.msk.ru/account/1404233972/", 1404233972)</f>
        <v>1404233972</v>
      </c>
      <c r="D1637">
        <v>0</v>
      </c>
    </row>
    <row r="1638" spans="1:4" hidden="1" x14ac:dyDescent="0.25">
      <c r="A1638" t="s">
        <v>419</v>
      </c>
      <c r="B1638" t="s">
        <v>28</v>
      </c>
      <c r="C1638" s="2">
        <f>HYPERLINK("https://sao.dolgi.msk.ru/account/1404232849/", 1404232849)</f>
        <v>1404232849</v>
      </c>
      <c r="D1638">
        <v>-6557.59</v>
      </c>
    </row>
    <row r="1639" spans="1:4" hidden="1" x14ac:dyDescent="0.25">
      <c r="A1639" t="s">
        <v>419</v>
      </c>
      <c r="B1639" t="s">
        <v>29</v>
      </c>
      <c r="C1639" s="2">
        <f>HYPERLINK("https://sao.dolgi.msk.ru/account/1404232857/", 1404232857)</f>
        <v>1404232857</v>
      </c>
      <c r="D1639">
        <v>-3812.86</v>
      </c>
    </row>
    <row r="1640" spans="1:4" hidden="1" x14ac:dyDescent="0.25">
      <c r="A1640" t="s">
        <v>419</v>
      </c>
      <c r="B1640" t="s">
        <v>30</v>
      </c>
      <c r="C1640" s="2">
        <f>HYPERLINK("https://sao.dolgi.msk.ru/account/1404230915/", 1404230915)</f>
        <v>1404230915</v>
      </c>
      <c r="D1640">
        <v>-2776.27</v>
      </c>
    </row>
    <row r="1641" spans="1:4" hidden="1" x14ac:dyDescent="0.25">
      <c r="A1641" t="s">
        <v>419</v>
      </c>
      <c r="B1641" t="s">
        <v>31</v>
      </c>
      <c r="C1641" s="2">
        <f>HYPERLINK("https://sao.dolgi.msk.ru/account/1404230923/", 1404230923)</f>
        <v>1404230923</v>
      </c>
      <c r="D1641">
        <v>0</v>
      </c>
    </row>
    <row r="1642" spans="1:4" hidden="1" x14ac:dyDescent="0.25">
      <c r="A1642" t="s">
        <v>419</v>
      </c>
      <c r="B1642" t="s">
        <v>32</v>
      </c>
      <c r="C1642" s="2">
        <f>HYPERLINK("https://sao.dolgi.msk.ru/account/1404231774/", 1404231774)</f>
        <v>1404231774</v>
      </c>
      <c r="D1642">
        <v>-4759.05</v>
      </c>
    </row>
    <row r="1643" spans="1:4" hidden="1" x14ac:dyDescent="0.25">
      <c r="A1643" t="s">
        <v>419</v>
      </c>
      <c r="B1643" t="s">
        <v>33</v>
      </c>
      <c r="C1643" s="2">
        <f>HYPERLINK("https://sao.dolgi.msk.ru/account/1404233999/", 1404233999)</f>
        <v>1404233999</v>
      </c>
      <c r="D1643">
        <v>0</v>
      </c>
    </row>
    <row r="1644" spans="1:4" hidden="1" x14ac:dyDescent="0.25">
      <c r="A1644" t="s">
        <v>419</v>
      </c>
      <c r="B1644" t="s">
        <v>34</v>
      </c>
      <c r="C1644" s="2">
        <f>HYPERLINK("https://sao.dolgi.msk.ru/account/1404229148/", 1404229148)</f>
        <v>1404229148</v>
      </c>
      <c r="D1644">
        <v>0</v>
      </c>
    </row>
    <row r="1645" spans="1:4" hidden="1" x14ac:dyDescent="0.25">
      <c r="A1645" t="s">
        <v>419</v>
      </c>
      <c r="B1645" t="s">
        <v>35</v>
      </c>
      <c r="C1645" s="2">
        <f>HYPERLINK("https://sao.dolgi.msk.ru/account/1404230931/", 1404230931)</f>
        <v>1404230931</v>
      </c>
      <c r="D1645">
        <v>-2953.48</v>
      </c>
    </row>
    <row r="1646" spans="1:4" hidden="1" x14ac:dyDescent="0.25">
      <c r="A1646" t="s">
        <v>419</v>
      </c>
      <c r="B1646" t="s">
        <v>36</v>
      </c>
      <c r="C1646" s="2">
        <f>HYPERLINK("https://sao.dolgi.msk.ru/account/1404227804/", 1404227804)</f>
        <v>1404227804</v>
      </c>
      <c r="D1646">
        <v>0</v>
      </c>
    </row>
    <row r="1647" spans="1:4" x14ac:dyDescent="0.25">
      <c r="A1647" t="s">
        <v>419</v>
      </c>
      <c r="B1647" t="s">
        <v>37</v>
      </c>
      <c r="C1647" s="2">
        <f>HYPERLINK("https://sao.dolgi.msk.ru/account/1404226828/", 1404226828)</f>
        <v>1404226828</v>
      </c>
      <c r="D1647">
        <v>67943.31</v>
      </c>
    </row>
    <row r="1648" spans="1:4" hidden="1" x14ac:dyDescent="0.25">
      <c r="A1648" t="s">
        <v>419</v>
      </c>
      <c r="B1648" t="s">
        <v>38</v>
      </c>
      <c r="C1648" s="2">
        <f>HYPERLINK("https://sao.dolgi.msk.ru/account/1404228663/", 1404228663)</f>
        <v>1404228663</v>
      </c>
      <c r="D1648">
        <v>-6433.02</v>
      </c>
    </row>
    <row r="1649" spans="1:4" hidden="1" x14ac:dyDescent="0.25">
      <c r="A1649" t="s">
        <v>419</v>
      </c>
      <c r="B1649" t="s">
        <v>39</v>
      </c>
      <c r="C1649" s="2">
        <f>HYPERLINK("https://sao.dolgi.msk.ru/account/1404231328/", 1404231328)</f>
        <v>1404231328</v>
      </c>
      <c r="D1649">
        <v>-9739.26</v>
      </c>
    </row>
    <row r="1650" spans="1:4" hidden="1" x14ac:dyDescent="0.25">
      <c r="A1650" t="s">
        <v>419</v>
      </c>
      <c r="B1650" t="s">
        <v>40</v>
      </c>
      <c r="C1650" s="2">
        <f>HYPERLINK("https://sao.dolgi.msk.ru/account/1404226836/", 1404226836)</f>
        <v>1404226836</v>
      </c>
      <c r="D1650">
        <v>-7173.25</v>
      </c>
    </row>
    <row r="1651" spans="1:4" x14ac:dyDescent="0.25">
      <c r="A1651" t="s">
        <v>419</v>
      </c>
      <c r="B1651" t="s">
        <v>41</v>
      </c>
      <c r="C1651" s="2">
        <f>HYPERLINK("https://sao.dolgi.msk.ru/account/1404231336/", 1404231336)</f>
        <v>1404231336</v>
      </c>
      <c r="D1651">
        <v>6069.96</v>
      </c>
    </row>
    <row r="1652" spans="1:4" hidden="1" x14ac:dyDescent="0.25">
      <c r="A1652" t="s">
        <v>419</v>
      </c>
      <c r="B1652" t="s">
        <v>42</v>
      </c>
      <c r="C1652" s="2">
        <f>HYPERLINK("https://sao.dolgi.msk.ru/account/1404234393/", 1404234393)</f>
        <v>1404234393</v>
      </c>
      <c r="D1652">
        <v>-6406.2</v>
      </c>
    </row>
    <row r="1653" spans="1:4" x14ac:dyDescent="0.25">
      <c r="A1653" t="s">
        <v>419</v>
      </c>
      <c r="B1653" t="s">
        <v>43</v>
      </c>
      <c r="C1653" s="2">
        <f>HYPERLINK("https://sao.dolgi.msk.ru/account/1404234211/", 1404234211)</f>
        <v>1404234211</v>
      </c>
      <c r="D1653">
        <v>11526.45</v>
      </c>
    </row>
    <row r="1654" spans="1:4" hidden="1" x14ac:dyDescent="0.25">
      <c r="A1654" t="s">
        <v>419</v>
      </c>
      <c r="B1654" t="s">
        <v>44</v>
      </c>
      <c r="C1654" s="2">
        <f>HYPERLINK("https://sao.dolgi.msk.ru/account/1404227548/", 1404227548)</f>
        <v>1404227548</v>
      </c>
      <c r="D1654">
        <v>0</v>
      </c>
    </row>
    <row r="1655" spans="1:4" hidden="1" x14ac:dyDescent="0.25">
      <c r="A1655" t="s">
        <v>419</v>
      </c>
      <c r="B1655" t="s">
        <v>45</v>
      </c>
      <c r="C1655" s="2">
        <f>HYPERLINK("https://sao.dolgi.msk.ru/account/1404228671/", 1404228671)</f>
        <v>1404228671</v>
      </c>
      <c r="D1655">
        <v>-3342.93</v>
      </c>
    </row>
    <row r="1656" spans="1:4" hidden="1" x14ac:dyDescent="0.25">
      <c r="A1656" t="s">
        <v>419</v>
      </c>
      <c r="B1656" t="s">
        <v>45</v>
      </c>
      <c r="C1656" s="2">
        <f>HYPERLINK("https://sao.dolgi.msk.ru/account/1404230202/", 1404230202)</f>
        <v>1404230202</v>
      </c>
      <c r="D1656">
        <v>-5332.48</v>
      </c>
    </row>
    <row r="1657" spans="1:4" hidden="1" x14ac:dyDescent="0.25">
      <c r="A1657" t="s">
        <v>419</v>
      </c>
      <c r="B1657" t="s">
        <v>46</v>
      </c>
      <c r="C1657" s="2">
        <f>HYPERLINK("https://sao.dolgi.msk.ru/account/1404233446/", 1404233446)</f>
        <v>1404233446</v>
      </c>
      <c r="D1657">
        <v>-4324.3900000000003</v>
      </c>
    </row>
    <row r="1658" spans="1:4" hidden="1" x14ac:dyDescent="0.25">
      <c r="A1658" t="s">
        <v>419</v>
      </c>
      <c r="B1658" t="s">
        <v>47</v>
      </c>
      <c r="C1658" s="2">
        <f>HYPERLINK("https://sao.dolgi.msk.ru/account/1404228698/", 1404228698)</f>
        <v>1404228698</v>
      </c>
      <c r="D1658">
        <v>-6237.52</v>
      </c>
    </row>
    <row r="1659" spans="1:4" hidden="1" x14ac:dyDescent="0.25">
      <c r="A1659" t="s">
        <v>419</v>
      </c>
      <c r="B1659" t="s">
        <v>48</v>
      </c>
      <c r="C1659" s="2">
        <f>HYPERLINK("https://sao.dolgi.msk.ru/account/1404227812/", 1404227812)</f>
        <v>1404227812</v>
      </c>
      <c r="D1659">
        <v>-10605.44</v>
      </c>
    </row>
    <row r="1660" spans="1:4" hidden="1" x14ac:dyDescent="0.25">
      <c r="A1660" t="s">
        <v>419</v>
      </c>
      <c r="B1660" t="s">
        <v>49</v>
      </c>
      <c r="C1660" s="2">
        <f>HYPERLINK("https://sao.dolgi.msk.ru/account/1404228719/", 1404228719)</f>
        <v>1404228719</v>
      </c>
      <c r="D1660">
        <v>-10207.549999999999</v>
      </c>
    </row>
    <row r="1661" spans="1:4" hidden="1" x14ac:dyDescent="0.25">
      <c r="A1661" t="s">
        <v>419</v>
      </c>
      <c r="B1661" t="s">
        <v>50</v>
      </c>
      <c r="C1661" s="2">
        <f>HYPERLINK("https://sao.dolgi.msk.ru/account/1404234449/", 1404234449)</f>
        <v>1404234449</v>
      </c>
      <c r="D1661">
        <v>0</v>
      </c>
    </row>
    <row r="1662" spans="1:4" hidden="1" x14ac:dyDescent="0.25">
      <c r="A1662" t="s">
        <v>419</v>
      </c>
      <c r="B1662" t="s">
        <v>51</v>
      </c>
      <c r="C1662" s="2">
        <f>HYPERLINK("https://sao.dolgi.msk.ru/account/1404228815/", 1404228815)</f>
        <v>1404228815</v>
      </c>
      <c r="D1662">
        <v>-1959.58</v>
      </c>
    </row>
    <row r="1663" spans="1:4" hidden="1" x14ac:dyDescent="0.25">
      <c r="A1663" t="s">
        <v>419</v>
      </c>
      <c r="B1663" t="s">
        <v>52</v>
      </c>
      <c r="C1663" s="2">
        <f>HYPERLINK("https://sao.dolgi.msk.ru/account/1404231432/", 1404231432)</f>
        <v>1404231432</v>
      </c>
      <c r="D1663">
        <v>-8708.4</v>
      </c>
    </row>
    <row r="1664" spans="1:4" hidden="1" x14ac:dyDescent="0.25">
      <c r="A1664" t="s">
        <v>419</v>
      </c>
      <c r="B1664" t="s">
        <v>53</v>
      </c>
      <c r="C1664" s="2">
        <f>HYPERLINK("https://sao.dolgi.msk.ru/account/1404231459/", 1404231459)</f>
        <v>1404231459</v>
      </c>
      <c r="D1664">
        <v>-5414.73</v>
      </c>
    </row>
    <row r="1665" spans="1:4" x14ac:dyDescent="0.25">
      <c r="A1665" t="s">
        <v>419</v>
      </c>
      <c r="B1665" t="s">
        <v>54</v>
      </c>
      <c r="C1665" s="2">
        <f>HYPERLINK("https://sao.dolgi.msk.ru/account/1404226967/", 1404226967)</f>
        <v>1404226967</v>
      </c>
      <c r="D1665">
        <v>12030.81</v>
      </c>
    </row>
    <row r="1666" spans="1:4" hidden="1" x14ac:dyDescent="0.25">
      <c r="A1666" t="s">
        <v>419</v>
      </c>
      <c r="B1666" t="s">
        <v>54</v>
      </c>
      <c r="C1666" s="2">
        <f>HYPERLINK("https://sao.dolgi.msk.ru/account/1404227484/", 1404227484)</f>
        <v>1404227484</v>
      </c>
      <c r="D1666">
        <v>0</v>
      </c>
    </row>
    <row r="1667" spans="1:4" hidden="1" x14ac:dyDescent="0.25">
      <c r="A1667" t="s">
        <v>419</v>
      </c>
      <c r="B1667" t="s">
        <v>55</v>
      </c>
      <c r="C1667" s="2">
        <f>HYPERLINK("https://sao.dolgi.msk.ru/account/1404233497/", 1404233497)</f>
        <v>1404233497</v>
      </c>
      <c r="D1667">
        <v>-3361.52</v>
      </c>
    </row>
    <row r="1668" spans="1:4" hidden="1" x14ac:dyDescent="0.25">
      <c r="A1668" t="s">
        <v>419</v>
      </c>
      <c r="B1668" t="s">
        <v>56</v>
      </c>
      <c r="C1668" s="2">
        <f>HYPERLINK("https://sao.dolgi.msk.ru/account/1404232347/", 1404232347)</f>
        <v>1404232347</v>
      </c>
      <c r="D1668">
        <v>-7948.24</v>
      </c>
    </row>
    <row r="1669" spans="1:4" hidden="1" x14ac:dyDescent="0.25">
      <c r="A1669" t="s">
        <v>419</v>
      </c>
      <c r="B1669" t="s">
        <v>57</v>
      </c>
      <c r="C1669" s="2">
        <f>HYPERLINK("https://sao.dolgi.msk.ru/account/1404233518/", 1404233518)</f>
        <v>1404233518</v>
      </c>
      <c r="D1669">
        <v>-6710.18</v>
      </c>
    </row>
    <row r="1670" spans="1:4" hidden="1" x14ac:dyDescent="0.25">
      <c r="A1670" t="s">
        <v>419</v>
      </c>
      <c r="B1670" t="s">
        <v>58</v>
      </c>
      <c r="C1670" s="2">
        <f>HYPERLINK("https://sao.dolgi.msk.ru/account/1404226879/", 1404226879)</f>
        <v>1404226879</v>
      </c>
      <c r="D1670">
        <v>0</v>
      </c>
    </row>
    <row r="1671" spans="1:4" hidden="1" x14ac:dyDescent="0.25">
      <c r="A1671" t="s">
        <v>419</v>
      </c>
      <c r="B1671" t="s">
        <v>59</v>
      </c>
      <c r="C1671" s="2">
        <f>HYPERLINK("https://sao.dolgi.msk.ru/account/1404227855/", 1404227855)</f>
        <v>1404227855</v>
      </c>
      <c r="D1671">
        <v>0</v>
      </c>
    </row>
    <row r="1672" spans="1:4" hidden="1" x14ac:dyDescent="0.25">
      <c r="A1672" t="s">
        <v>419</v>
      </c>
      <c r="B1672" t="s">
        <v>60</v>
      </c>
      <c r="C1672" s="2">
        <f>HYPERLINK("https://sao.dolgi.msk.ru/account/1404233534/", 1404233534)</f>
        <v>1404233534</v>
      </c>
      <c r="D1672">
        <v>-9541.56</v>
      </c>
    </row>
    <row r="1673" spans="1:4" hidden="1" x14ac:dyDescent="0.25">
      <c r="A1673" t="s">
        <v>419</v>
      </c>
      <c r="B1673" t="s">
        <v>61</v>
      </c>
      <c r="C1673" s="2">
        <f>HYPERLINK("https://sao.dolgi.msk.ru/account/1404228743/", 1404228743)</f>
        <v>1404228743</v>
      </c>
      <c r="D1673">
        <v>0</v>
      </c>
    </row>
    <row r="1674" spans="1:4" hidden="1" x14ac:dyDescent="0.25">
      <c r="A1674" t="s">
        <v>419</v>
      </c>
      <c r="B1674" t="s">
        <v>62</v>
      </c>
      <c r="C1674" s="2">
        <f>HYPERLINK("https://sao.dolgi.msk.ru/account/1404228751/", 1404228751)</f>
        <v>1404228751</v>
      </c>
      <c r="D1674">
        <v>0</v>
      </c>
    </row>
    <row r="1675" spans="1:4" hidden="1" x14ac:dyDescent="0.25">
      <c r="A1675" t="s">
        <v>419</v>
      </c>
      <c r="B1675" t="s">
        <v>63</v>
      </c>
      <c r="C1675" s="2">
        <f>HYPERLINK("https://sao.dolgi.msk.ru/account/1404227863/", 1404227863)</f>
        <v>1404227863</v>
      </c>
      <c r="D1675">
        <v>-3275.95</v>
      </c>
    </row>
    <row r="1676" spans="1:4" hidden="1" x14ac:dyDescent="0.25">
      <c r="A1676" t="s">
        <v>419</v>
      </c>
      <c r="B1676" t="s">
        <v>64</v>
      </c>
      <c r="C1676" s="2">
        <f>HYPERLINK("https://sao.dolgi.msk.ru/account/1404228778/", 1404228778)</f>
        <v>1404228778</v>
      </c>
      <c r="D1676">
        <v>-8726.5499999999993</v>
      </c>
    </row>
    <row r="1677" spans="1:4" hidden="1" x14ac:dyDescent="0.25">
      <c r="A1677" t="s">
        <v>419</v>
      </c>
      <c r="B1677" t="s">
        <v>65</v>
      </c>
      <c r="C1677" s="2">
        <f>HYPERLINK("https://sao.dolgi.msk.ru/account/1404233374/", 1404233374)</f>
        <v>1404233374</v>
      </c>
      <c r="D1677">
        <v>0</v>
      </c>
    </row>
    <row r="1678" spans="1:4" hidden="1" x14ac:dyDescent="0.25">
      <c r="A1678" t="s">
        <v>419</v>
      </c>
      <c r="B1678" t="s">
        <v>66</v>
      </c>
      <c r="C1678" s="2">
        <f>HYPERLINK("https://sao.dolgi.msk.ru/account/1404230448/", 1404230448)</f>
        <v>1404230448</v>
      </c>
      <c r="D1678">
        <v>-6401.29</v>
      </c>
    </row>
    <row r="1679" spans="1:4" x14ac:dyDescent="0.25">
      <c r="A1679" t="s">
        <v>419</v>
      </c>
      <c r="B1679" t="s">
        <v>67</v>
      </c>
      <c r="C1679" s="2">
        <f>HYPERLINK("https://sao.dolgi.msk.ru/account/1404231299/", 1404231299)</f>
        <v>1404231299</v>
      </c>
      <c r="D1679">
        <v>13116.89</v>
      </c>
    </row>
    <row r="1680" spans="1:4" hidden="1" x14ac:dyDescent="0.25">
      <c r="A1680" t="s">
        <v>419</v>
      </c>
      <c r="B1680" t="s">
        <v>68</v>
      </c>
      <c r="C1680" s="2">
        <f>HYPERLINK("https://sao.dolgi.msk.ru/account/1404232267/", 1404232267)</f>
        <v>1404232267</v>
      </c>
      <c r="D1680">
        <v>-8779.92</v>
      </c>
    </row>
    <row r="1681" spans="1:4" hidden="1" x14ac:dyDescent="0.25">
      <c r="A1681" t="s">
        <v>419</v>
      </c>
      <c r="B1681" t="s">
        <v>69</v>
      </c>
      <c r="C1681" s="2">
        <f>HYPERLINK("https://sao.dolgi.msk.ru/account/1404229594/", 1404229594)</f>
        <v>1404229594</v>
      </c>
      <c r="D1681">
        <v>0</v>
      </c>
    </row>
    <row r="1682" spans="1:4" hidden="1" x14ac:dyDescent="0.25">
      <c r="A1682" t="s">
        <v>419</v>
      </c>
      <c r="B1682" t="s">
        <v>70</v>
      </c>
      <c r="C1682" s="2">
        <f>HYPERLINK("https://sao.dolgi.msk.ru/account/1404233294/", 1404233294)</f>
        <v>1404233294</v>
      </c>
      <c r="D1682">
        <v>0</v>
      </c>
    </row>
    <row r="1683" spans="1:4" hidden="1" x14ac:dyDescent="0.25">
      <c r="A1683" t="s">
        <v>419</v>
      </c>
      <c r="B1683" t="s">
        <v>71</v>
      </c>
      <c r="C1683" s="2">
        <f>HYPERLINK("https://sao.dolgi.msk.ru/account/1404232822/", 1404232822)</f>
        <v>1404232822</v>
      </c>
      <c r="D1683">
        <v>0</v>
      </c>
    </row>
    <row r="1684" spans="1:4" hidden="1" x14ac:dyDescent="0.25">
      <c r="A1684" t="s">
        <v>419</v>
      </c>
      <c r="B1684" t="s">
        <v>72</v>
      </c>
      <c r="C1684" s="2">
        <f>HYPERLINK("https://sao.dolgi.msk.ru/account/1404228233/", 1404228233)</f>
        <v>1404228233</v>
      </c>
      <c r="D1684">
        <v>0</v>
      </c>
    </row>
    <row r="1685" spans="1:4" hidden="1" x14ac:dyDescent="0.25">
      <c r="A1685" t="s">
        <v>419</v>
      </c>
      <c r="B1685" t="s">
        <v>73</v>
      </c>
      <c r="C1685" s="2">
        <f>HYPERLINK("https://sao.dolgi.msk.ru/account/1404231766/", 1404231766)</f>
        <v>1404231766</v>
      </c>
      <c r="D1685">
        <v>-6200.16</v>
      </c>
    </row>
    <row r="1686" spans="1:4" x14ac:dyDescent="0.25">
      <c r="A1686" t="s">
        <v>419</v>
      </c>
      <c r="B1686" t="s">
        <v>421</v>
      </c>
      <c r="C1686" s="2">
        <f>HYPERLINK("https://sao.dolgi.msk.ru/account/1404230464/", 1404230464)</f>
        <v>1404230464</v>
      </c>
      <c r="D1686">
        <v>2652.54</v>
      </c>
    </row>
    <row r="1687" spans="1:4" hidden="1" x14ac:dyDescent="0.25">
      <c r="A1687" t="s">
        <v>419</v>
      </c>
      <c r="B1687" t="s">
        <v>76</v>
      </c>
      <c r="C1687" s="2">
        <f>HYPERLINK("https://sao.dolgi.msk.ru/account/1404227396/", 1404227396)</f>
        <v>1404227396</v>
      </c>
      <c r="D1687">
        <v>0</v>
      </c>
    </row>
    <row r="1688" spans="1:4" hidden="1" x14ac:dyDescent="0.25">
      <c r="A1688" t="s">
        <v>419</v>
      </c>
      <c r="B1688" t="s">
        <v>77</v>
      </c>
      <c r="C1688" s="2">
        <f>HYPERLINK("https://sao.dolgi.msk.ru/account/1404228241/", 1404228241)</f>
        <v>1404228241</v>
      </c>
      <c r="D1688">
        <v>0</v>
      </c>
    </row>
    <row r="1689" spans="1:4" x14ac:dyDescent="0.25">
      <c r="A1689" t="s">
        <v>419</v>
      </c>
      <c r="B1689" t="s">
        <v>78</v>
      </c>
      <c r="C1689" s="2">
        <f>HYPERLINK("https://sao.dolgi.msk.ru/account/1404233438/", 1404233438)</f>
        <v>1404233438</v>
      </c>
      <c r="D1689">
        <v>9726.32</v>
      </c>
    </row>
    <row r="1690" spans="1:4" hidden="1" x14ac:dyDescent="0.25">
      <c r="A1690" t="s">
        <v>419</v>
      </c>
      <c r="B1690" t="s">
        <v>79</v>
      </c>
      <c r="C1690" s="2">
        <f>HYPERLINK("https://sao.dolgi.msk.ru/account/1404226844/", 1404226844)</f>
        <v>1404226844</v>
      </c>
      <c r="D1690">
        <v>-7153.56</v>
      </c>
    </row>
    <row r="1691" spans="1:4" hidden="1" x14ac:dyDescent="0.25">
      <c r="A1691" t="s">
        <v>419</v>
      </c>
      <c r="B1691" t="s">
        <v>80</v>
      </c>
      <c r="C1691" s="2">
        <f>HYPERLINK("https://sao.dolgi.msk.ru/account/1404231344/", 1404231344)</f>
        <v>1404231344</v>
      </c>
      <c r="D1691">
        <v>-5309.98</v>
      </c>
    </row>
    <row r="1692" spans="1:4" hidden="1" x14ac:dyDescent="0.25">
      <c r="A1692" t="s">
        <v>419</v>
      </c>
      <c r="B1692" t="s">
        <v>81</v>
      </c>
      <c r="C1692" s="2">
        <f>HYPERLINK("https://sao.dolgi.msk.ru/account/1404228575/", 1404228575)</f>
        <v>1404228575</v>
      </c>
      <c r="D1692">
        <v>-6293.68</v>
      </c>
    </row>
    <row r="1693" spans="1:4" hidden="1" x14ac:dyDescent="0.25">
      <c r="A1693" t="s">
        <v>419</v>
      </c>
      <c r="B1693" t="s">
        <v>82</v>
      </c>
      <c r="C1693" s="2">
        <f>HYPERLINK("https://sao.dolgi.msk.ru/account/1404234457/", 1404234457)</f>
        <v>1404234457</v>
      </c>
      <c r="D1693">
        <v>0</v>
      </c>
    </row>
    <row r="1694" spans="1:4" hidden="1" x14ac:dyDescent="0.25">
      <c r="A1694" t="s">
        <v>419</v>
      </c>
      <c r="B1694" t="s">
        <v>83</v>
      </c>
      <c r="C1694" s="2">
        <f>HYPERLINK("https://sao.dolgi.msk.ru/account/1404233251/", 1404233251)</f>
        <v>1404233251</v>
      </c>
      <c r="D1694">
        <v>-3325.89</v>
      </c>
    </row>
    <row r="1695" spans="1:4" hidden="1" x14ac:dyDescent="0.25">
      <c r="A1695" t="s">
        <v>419</v>
      </c>
      <c r="B1695" t="s">
        <v>84</v>
      </c>
      <c r="C1695" s="2">
        <f>HYPERLINK("https://sao.dolgi.msk.ru/account/1404228583/", 1404228583)</f>
        <v>1404228583</v>
      </c>
      <c r="D1695">
        <v>0</v>
      </c>
    </row>
    <row r="1696" spans="1:4" hidden="1" x14ac:dyDescent="0.25">
      <c r="A1696" t="s">
        <v>419</v>
      </c>
      <c r="B1696" t="s">
        <v>85</v>
      </c>
      <c r="C1696" s="2">
        <f>HYPERLINK("https://sao.dolgi.msk.ru/account/1404230827/", 1404230827)</f>
        <v>1404230827</v>
      </c>
      <c r="D1696">
        <v>-6526.23</v>
      </c>
    </row>
    <row r="1697" spans="1:4" hidden="1" x14ac:dyDescent="0.25">
      <c r="A1697" t="s">
        <v>419</v>
      </c>
      <c r="B1697" t="s">
        <v>86</v>
      </c>
      <c r="C1697" s="2">
        <f>HYPERLINK("https://sao.dolgi.msk.ru/account/1404230835/", 1404230835)</f>
        <v>1404230835</v>
      </c>
      <c r="D1697">
        <v>-5314.18</v>
      </c>
    </row>
    <row r="1698" spans="1:4" hidden="1" x14ac:dyDescent="0.25">
      <c r="A1698" t="s">
        <v>419</v>
      </c>
      <c r="B1698" t="s">
        <v>87</v>
      </c>
      <c r="C1698" s="2">
        <f>HYPERLINK("https://sao.dolgi.msk.ru/account/1404232443/", 1404232443)</f>
        <v>1404232443</v>
      </c>
      <c r="D1698">
        <v>-4762.49</v>
      </c>
    </row>
    <row r="1699" spans="1:4" hidden="1" x14ac:dyDescent="0.25">
      <c r="A1699" t="s">
        <v>419</v>
      </c>
      <c r="B1699" t="s">
        <v>88</v>
      </c>
      <c r="C1699" s="2">
        <f>HYPERLINK("https://sao.dolgi.msk.ru/account/1404233913/", 1404233913)</f>
        <v>1404233913</v>
      </c>
      <c r="D1699">
        <v>-5825.74</v>
      </c>
    </row>
    <row r="1700" spans="1:4" x14ac:dyDescent="0.25">
      <c r="A1700" t="s">
        <v>419</v>
      </c>
      <c r="B1700" t="s">
        <v>89</v>
      </c>
      <c r="C1700" s="2">
        <f>HYPERLINK("https://sao.dolgi.msk.ru/account/1404227775/", 1404227775)</f>
        <v>1404227775</v>
      </c>
      <c r="D1700">
        <v>12397.05</v>
      </c>
    </row>
    <row r="1701" spans="1:4" x14ac:dyDescent="0.25">
      <c r="A1701" t="s">
        <v>419</v>
      </c>
      <c r="B1701" t="s">
        <v>90</v>
      </c>
      <c r="C1701" s="2">
        <f>HYPERLINK("https://sao.dolgi.msk.ru/account/1404230384/", 1404230384)</f>
        <v>1404230384</v>
      </c>
      <c r="D1701">
        <v>7632.32</v>
      </c>
    </row>
    <row r="1702" spans="1:4" hidden="1" x14ac:dyDescent="0.25">
      <c r="A1702" t="s">
        <v>419</v>
      </c>
      <c r="B1702" t="s">
        <v>91</v>
      </c>
      <c r="C1702" s="2">
        <f>HYPERLINK("https://sao.dolgi.msk.ru/account/1404233278/", 1404233278)</f>
        <v>1404233278</v>
      </c>
      <c r="D1702">
        <v>0</v>
      </c>
    </row>
    <row r="1703" spans="1:4" hidden="1" x14ac:dyDescent="0.25">
      <c r="A1703" t="s">
        <v>419</v>
      </c>
      <c r="B1703" t="s">
        <v>92</v>
      </c>
      <c r="C1703" s="2">
        <f>HYPERLINK("https://sao.dolgi.msk.ru/account/1404227687/", 1404227687)</f>
        <v>1404227687</v>
      </c>
      <c r="D1703">
        <v>0</v>
      </c>
    </row>
    <row r="1704" spans="1:4" x14ac:dyDescent="0.25">
      <c r="A1704" t="s">
        <v>419</v>
      </c>
      <c r="B1704" t="s">
        <v>93</v>
      </c>
      <c r="C1704" s="2">
        <f>HYPERLINK("https://sao.dolgi.msk.ru/account/1404228591/", 1404228591)</f>
        <v>1404228591</v>
      </c>
      <c r="D1704">
        <v>11345.93</v>
      </c>
    </row>
    <row r="1705" spans="1:4" hidden="1" x14ac:dyDescent="0.25">
      <c r="A1705" t="s">
        <v>419</v>
      </c>
      <c r="B1705" t="s">
        <v>94</v>
      </c>
      <c r="C1705" s="2">
        <f>HYPERLINK("https://sao.dolgi.msk.ru/account/1404232718/", 1404232718)</f>
        <v>1404232718</v>
      </c>
      <c r="D1705">
        <v>-4994.55</v>
      </c>
    </row>
    <row r="1706" spans="1:4" hidden="1" x14ac:dyDescent="0.25">
      <c r="A1706" t="s">
        <v>419</v>
      </c>
      <c r="B1706" t="s">
        <v>95</v>
      </c>
      <c r="C1706" s="2">
        <f>HYPERLINK("https://sao.dolgi.msk.ru/account/1404233681/", 1404233681)</f>
        <v>1404233681</v>
      </c>
      <c r="D1706">
        <v>0</v>
      </c>
    </row>
    <row r="1707" spans="1:4" hidden="1" x14ac:dyDescent="0.25">
      <c r="A1707" t="s">
        <v>419</v>
      </c>
      <c r="B1707" t="s">
        <v>96</v>
      </c>
      <c r="C1707" s="2">
        <f>HYPERLINK("https://sao.dolgi.msk.ru/account/1404229092/", 1404229092)</f>
        <v>1404229092</v>
      </c>
      <c r="D1707">
        <v>-9042.6</v>
      </c>
    </row>
    <row r="1708" spans="1:4" hidden="1" x14ac:dyDescent="0.25">
      <c r="A1708" t="s">
        <v>419</v>
      </c>
      <c r="B1708" t="s">
        <v>97</v>
      </c>
      <c r="C1708" s="2">
        <f>HYPERLINK("https://sao.dolgi.msk.ru/account/1404231678/", 1404231678)</f>
        <v>1404231678</v>
      </c>
      <c r="D1708">
        <v>-9647.61</v>
      </c>
    </row>
    <row r="1709" spans="1:4" hidden="1" x14ac:dyDescent="0.25">
      <c r="A1709" t="s">
        <v>419</v>
      </c>
      <c r="B1709" t="s">
        <v>98</v>
      </c>
      <c r="C1709" s="2">
        <f>HYPERLINK("https://sao.dolgi.msk.ru/account/1404227302/", 1404227302)</f>
        <v>1404227302</v>
      </c>
      <c r="D1709">
        <v>-4987.75</v>
      </c>
    </row>
    <row r="1710" spans="1:4" hidden="1" x14ac:dyDescent="0.25">
      <c r="A1710" t="s">
        <v>419</v>
      </c>
      <c r="B1710" t="s">
        <v>99</v>
      </c>
      <c r="C1710" s="2">
        <f>HYPERLINK("https://sao.dolgi.msk.ru/account/1404232726/", 1404232726)</f>
        <v>1404232726</v>
      </c>
      <c r="D1710">
        <v>-3349.59</v>
      </c>
    </row>
    <row r="1711" spans="1:4" hidden="1" x14ac:dyDescent="0.25">
      <c r="A1711" t="s">
        <v>419</v>
      </c>
      <c r="B1711" t="s">
        <v>99</v>
      </c>
      <c r="C1711" s="2">
        <f>HYPERLINK("https://sao.dolgi.msk.ru/account/1404234369/", 1404234369)</f>
        <v>1404234369</v>
      </c>
      <c r="D1711">
        <v>-3233.62</v>
      </c>
    </row>
    <row r="1712" spans="1:4" hidden="1" x14ac:dyDescent="0.25">
      <c r="A1712" t="s">
        <v>419</v>
      </c>
      <c r="B1712" t="s">
        <v>100</v>
      </c>
      <c r="C1712" s="2">
        <f>HYPERLINK("https://sao.dolgi.msk.ru/account/1404229981/", 1404229981)</f>
        <v>1404229981</v>
      </c>
      <c r="D1712">
        <v>-6641.87</v>
      </c>
    </row>
    <row r="1713" spans="1:4" x14ac:dyDescent="0.25">
      <c r="A1713" t="s">
        <v>419</v>
      </c>
      <c r="B1713" t="s">
        <v>101</v>
      </c>
      <c r="C1713" s="2">
        <f>HYPERLINK("https://sao.dolgi.msk.ru/account/1404233577/", 1404233577)</f>
        <v>1404233577</v>
      </c>
      <c r="D1713">
        <v>14275.47</v>
      </c>
    </row>
    <row r="1714" spans="1:4" x14ac:dyDescent="0.25">
      <c r="A1714" t="s">
        <v>419</v>
      </c>
      <c r="B1714" t="s">
        <v>102</v>
      </c>
      <c r="C1714" s="2">
        <f>HYPERLINK("https://sao.dolgi.msk.ru/account/1404227329/", 1404227329)</f>
        <v>1404227329</v>
      </c>
      <c r="D1714">
        <v>542.01</v>
      </c>
    </row>
    <row r="1715" spans="1:4" hidden="1" x14ac:dyDescent="0.25">
      <c r="A1715" t="s">
        <v>419</v>
      </c>
      <c r="B1715" t="s">
        <v>103</v>
      </c>
      <c r="C1715" s="2">
        <f>HYPERLINK("https://sao.dolgi.msk.ru/account/1404232734/", 1404232734)</f>
        <v>1404232734</v>
      </c>
      <c r="D1715">
        <v>-7611.09</v>
      </c>
    </row>
    <row r="1716" spans="1:4" hidden="1" x14ac:dyDescent="0.25">
      <c r="A1716" t="s">
        <v>419</v>
      </c>
      <c r="B1716" t="s">
        <v>104</v>
      </c>
      <c r="C1716" s="2">
        <f>HYPERLINK("https://sao.dolgi.msk.ru/account/1404232742/", 1404232742)</f>
        <v>1404232742</v>
      </c>
      <c r="D1716">
        <v>-6763.43</v>
      </c>
    </row>
    <row r="1717" spans="1:4" hidden="1" x14ac:dyDescent="0.25">
      <c r="A1717" t="s">
        <v>419</v>
      </c>
      <c r="B1717" t="s">
        <v>105</v>
      </c>
      <c r="C1717" s="2">
        <f>HYPERLINK("https://sao.dolgi.msk.ru/account/1404230018/", 1404230018)</f>
        <v>1404230018</v>
      </c>
      <c r="D1717">
        <v>0</v>
      </c>
    </row>
    <row r="1718" spans="1:4" x14ac:dyDescent="0.25">
      <c r="A1718" t="s">
        <v>419</v>
      </c>
      <c r="B1718" t="s">
        <v>106</v>
      </c>
      <c r="C1718" s="2">
        <f>HYPERLINK("https://sao.dolgi.msk.ru/account/1404233737/", 1404233737)</f>
        <v>1404233737</v>
      </c>
      <c r="D1718">
        <v>23350.720000000001</v>
      </c>
    </row>
    <row r="1719" spans="1:4" hidden="1" x14ac:dyDescent="0.25">
      <c r="A1719" t="s">
        <v>419</v>
      </c>
      <c r="B1719" t="s">
        <v>107</v>
      </c>
      <c r="C1719" s="2">
        <f>HYPERLINK("https://sao.dolgi.msk.ru/account/1404231686/", 1404231686)</f>
        <v>1404231686</v>
      </c>
      <c r="D1719">
        <v>-130</v>
      </c>
    </row>
    <row r="1720" spans="1:4" hidden="1" x14ac:dyDescent="0.25">
      <c r="A1720" t="s">
        <v>419</v>
      </c>
      <c r="B1720" t="s">
        <v>108</v>
      </c>
      <c r="C1720" s="2">
        <f>HYPERLINK("https://sao.dolgi.msk.ru/account/1404231694/", 1404231694)</f>
        <v>1404231694</v>
      </c>
      <c r="D1720">
        <v>0</v>
      </c>
    </row>
    <row r="1721" spans="1:4" hidden="1" x14ac:dyDescent="0.25">
      <c r="A1721" t="s">
        <v>419</v>
      </c>
      <c r="B1721" t="s">
        <v>109</v>
      </c>
      <c r="C1721" s="2">
        <f>HYPERLINK("https://sao.dolgi.msk.ru/account/1404230026/", 1404230026)</f>
        <v>1404230026</v>
      </c>
      <c r="D1721">
        <v>-13501.73</v>
      </c>
    </row>
    <row r="1722" spans="1:4" hidden="1" x14ac:dyDescent="0.25">
      <c r="A1722" t="s">
        <v>419</v>
      </c>
      <c r="B1722" t="s">
        <v>110</v>
      </c>
      <c r="C1722" s="2">
        <f>HYPERLINK("https://sao.dolgi.msk.ru/account/1404231651/", 1404231651)</f>
        <v>1404231651</v>
      </c>
      <c r="D1722">
        <v>-5966.8</v>
      </c>
    </row>
    <row r="1723" spans="1:4" hidden="1" x14ac:dyDescent="0.25">
      <c r="A1723" t="s">
        <v>419</v>
      </c>
      <c r="B1723" t="s">
        <v>111</v>
      </c>
      <c r="C1723" s="2">
        <f>HYPERLINK("https://sao.dolgi.msk.ru/account/1404230851/", 1404230851)</f>
        <v>1404230851</v>
      </c>
      <c r="D1723">
        <v>-5924.02</v>
      </c>
    </row>
    <row r="1724" spans="1:4" hidden="1" x14ac:dyDescent="0.25">
      <c r="A1724" t="s">
        <v>419</v>
      </c>
      <c r="B1724" t="s">
        <v>112</v>
      </c>
      <c r="C1724" s="2">
        <f>HYPERLINK("https://sao.dolgi.msk.ru/account/1404227003/", 1404227003)</f>
        <v>1404227003</v>
      </c>
      <c r="D1724">
        <v>-8301.68</v>
      </c>
    </row>
    <row r="1725" spans="1:4" hidden="1" x14ac:dyDescent="0.25">
      <c r="A1725" t="s">
        <v>419</v>
      </c>
      <c r="B1725" t="s">
        <v>113</v>
      </c>
      <c r="C1725" s="2">
        <f>HYPERLINK("https://sao.dolgi.msk.ru/account/1404228866/", 1404228866)</f>
        <v>1404228866</v>
      </c>
      <c r="D1725">
        <v>0</v>
      </c>
    </row>
    <row r="1726" spans="1:4" hidden="1" x14ac:dyDescent="0.25">
      <c r="A1726" t="s">
        <v>419</v>
      </c>
      <c r="B1726" t="s">
        <v>114</v>
      </c>
      <c r="C1726" s="2">
        <f>HYPERLINK("https://sao.dolgi.msk.ru/account/1404233649/", 1404233649)</f>
        <v>1404233649</v>
      </c>
      <c r="D1726">
        <v>-5617.86</v>
      </c>
    </row>
    <row r="1727" spans="1:4" hidden="1" x14ac:dyDescent="0.25">
      <c r="A1727" t="s">
        <v>419</v>
      </c>
      <c r="B1727" t="s">
        <v>115</v>
      </c>
      <c r="C1727" s="2">
        <f>HYPERLINK("https://sao.dolgi.msk.ru/account/1404227011/", 1404227011)</f>
        <v>1404227011</v>
      </c>
      <c r="D1727">
        <v>-7801.08</v>
      </c>
    </row>
    <row r="1728" spans="1:4" hidden="1" x14ac:dyDescent="0.25">
      <c r="A1728" t="s">
        <v>419</v>
      </c>
      <c r="B1728" t="s">
        <v>116</v>
      </c>
      <c r="C1728" s="2">
        <f>HYPERLINK("https://sao.dolgi.msk.ru/account/1404231483/", 1404231483)</f>
        <v>1404231483</v>
      </c>
      <c r="D1728">
        <v>0</v>
      </c>
    </row>
    <row r="1729" spans="1:4" hidden="1" x14ac:dyDescent="0.25">
      <c r="A1729" t="s">
        <v>419</v>
      </c>
      <c r="B1729" t="s">
        <v>117</v>
      </c>
      <c r="C1729" s="2">
        <f>HYPERLINK("https://sao.dolgi.msk.ru/account/1404231854/", 1404231854)</f>
        <v>1404231854</v>
      </c>
      <c r="D1729">
        <v>-7698.97</v>
      </c>
    </row>
    <row r="1730" spans="1:4" hidden="1" x14ac:dyDescent="0.25">
      <c r="A1730" t="s">
        <v>419</v>
      </c>
      <c r="B1730" t="s">
        <v>118</v>
      </c>
      <c r="C1730" s="2">
        <f>HYPERLINK("https://sao.dolgi.msk.ru/account/1404228022/", 1404228022)</f>
        <v>1404228022</v>
      </c>
      <c r="D1730">
        <v>-5816.94</v>
      </c>
    </row>
    <row r="1731" spans="1:4" hidden="1" x14ac:dyDescent="0.25">
      <c r="A1731" t="s">
        <v>419</v>
      </c>
      <c r="B1731" t="s">
        <v>119</v>
      </c>
      <c r="C1731" s="2">
        <f>HYPERLINK("https://sao.dolgi.msk.ru/account/1404232697/", 1404232697)</f>
        <v>1404232697</v>
      </c>
      <c r="D1731">
        <v>-1340.6</v>
      </c>
    </row>
    <row r="1732" spans="1:4" hidden="1" x14ac:dyDescent="0.25">
      <c r="A1732" t="s">
        <v>419</v>
      </c>
      <c r="B1732" t="s">
        <v>120</v>
      </c>
      <c r="C1732" s="2">
        <f>HYPERLINK("https://sao.dolgi.msk.ru/account/1404234246/", 1404234246)</f>
        <v>1404234246</v>
      </c>
      <c r="D1732">
        <v>0</v>
      </c>
    </row>
    <row r="1733" spans="1:4" hidden="1" x14ac:dyDescent="0.25">
      <c r="A1733" t="s">
        <v>419</v>
      </c>
      <c r="B1733" t="s">
        <v>121</v>
      </c>
      <c r="C1733" s="2">
        <f>HYPERLINK("https://sao.dolgi.msk.ru/account/1404230595/", 1404230595)</f>
        <v>1404230595</v>
      </c>
      <c r="D1733">
        <v>-5609.79</v>
      </c>
    </row>
    <row r="1734" spans="1:4" hidden="1" x14ac:dyDescent="0.25">
      <c r="A1734" t="s">
        <v>419</v>
      </c>
      <c r="B1734" t="s">
        <v>122</v>
      </c>
      <c r="C1734" s="2">
        <f>HYPERLINK("https://sao.dolgi.msk.ru/account/1404232996/", 1404232996)</f>
        <v>1404232996</v>
      </c>
      <c r="D1734">
        <v>-3519.63</v>
      </c>
    </row>
    <row r="1735" spans="1:4" hidden="1" x14ac:dyDescent="0.25">
      <c r="A1735" t="s">
        <v>419</v>
      </c>
      <c r="B1735" t="s">
        <v>123</v>
      </c>
      <c r="C1735" s="2">
        <f>HYPERLINK("https://sao.dolgi.msk.ru/account/1404233673/", 1404233673)</f>
        <v>1404233673</v>
      </c>
      <c r="D1735">
        <v>0</v>
      </c>
    </row>
    <row r="1736" spans="1:4" hidden="1" x14ac:dyDescent="0.25">
      <c r="A1736" t="s">
        <v>419</v>
      </c>
      <c r="B1736" t="s">
        <v>124</v>
      </c>
      <c r="C1736" s="2">
        <f>HYPERLINK("https://sao.dolgi.msk.ru/account/1404227994/", 1404227994)</f>
        <v>1404227994</v>
      </c>
      <c r="D1736">
        <v>-5265.4</v>
      </c>
    </row>
    <row r="1737" spans="1:4" hidden="1" x14ac:dyDescent="0.25">
      <c r="A1737" t="s">
        <v>419</v>
      </c>
      <c r="B1737" t="s">
        <v>125</v>
      </c>
      <c r="C1737" s="2">
        <f>HYPERLINK("https://sao.dolgi.msk.ru/account/1404228006/", 1404228006)</f>
        <v>1404228006</v>
      </c>
      <c r="D1737">
        <v>-8134.15</v>
      </c>
    </row>
    <row r="1738" spans="1:4" hidden="1" x14ac:dyDescent="0.25">
      <c r="A1738" t="s">
        <v>419</v>
      </c>
      <c r="B1738" t="s">
        <v>126</v>
      </c>
      <c r="C1738" s="2">
        <f>HYPERLINK("https://sao.dolgi.msk.ru/account/1404229236/", 1404229236)</f>
        <v>1404229236</v>
      </c>
      <c r="D1738">
        <v>-4685.76</v>
      </c>
    </row>
    <row r="1739" spans="1:4" hidden="1" x14ac:dyDescent="0.25">
      <c r="A1739" t="s">
        <v>419</v>
      </c>
      <c r="B1739" t="s">
        <v>127</v>
      </c>
      <c r="C1739" s="2">
        <f>HYPERLINK("https://sao.dolgi.msk.ru/account/1404232478/", 1404232478)</f>
        <v>1404232478</v>
      </c>
      <c r="D1739">
        <v>-5714.06</v>
      </c>
    </row>
    <row r="1740" spans="1:4" hidden="1" x14ac:dyDescent="0.25">
      <c r="A1740" t="s">
        <v>419</v>
      </c>
      <c r="B1740" t="s">
        <v>128</v>
      </c>
      <c r="C1740" s="2">
        <f>HYPERLINK("https://sao.dolgi.msk.ru/account/1404229746/", 1404229746)</f>
        <v>1404229746</v>
      </c>
      <c r="D1740">
        <v>0</v>
      </c>
    </row>
    <row r="1741" spans="1:4" x14ac:dyDescent="0.25">
      <c r="A1741" t="s">
        <v>419</v>
      </c>
      <c r="B1741" t="s">
        <v>129</v>
      </c>
      <c r="C1741" s="2">
        <f>HYPERLINK("https://sao.dolgi.msk.ru/account/1404231491/", 1404231491)</f>
        <v>1404231491</v>
      </c>
      <c r="D1741">
        <v>53.8</v>
      </c>
    </row>
    <row r="1742" spans="1:4" x14ac:dyDescent="0.25">
      <c r="A1742" t="s">
        <v>419</v>
      </c>
      <c r="B1742" t="s">
        <v>130</v>
      </c>
      <c r="C1742" s="2">
        <f>HYPERLINK("https://sao.dolgi.msk.ru/account/1404227038/", 1404227038)</f>
        <v>1404227038</v>
      </c>
      <c r="D1742">
        <v>25051.67</v>
      </c>
    </row>
    <row r="1743" spans="1:4" hidden="1" x14ac:dyDescent="0.25">
      <c r="A1743" t="s">
        <v>419</v>
      </c>
      <c r="B1743" t="s">
        <v>131</v>
      </c>
      <c r="C1743" s="2">
        <f>HYPERLINK("https://sao.dolgi.msk.ru/account/1404232275/", 1404232275)</f>
        <v>1404232275</v>
      </c>
      <c r="D1743">
        <v>0</v>
      </c>
    </row>
    <row r="1744" spans="1:4" hidden="1" x14ac:dyDescent="0.25">
      <c r="A1744" t="s">
        <v>419</v>
      </c>
      <c r="B1744" t="s">
        <v>132</v>
      </c>
      <c r="C1744" s="2">
        <f>HYPERLINK("https://sao.dolgi.msk.ru/account/1404232283/", 1404232283)</f>
        <v>1404232283</v>
      </c>
      <c r="D1744">
        <v>-5580.6</v>
      </c>
    </row>
    <row r="1745" spans="1:4" hidden="1" x14ac:dyDescent="0.25">
      <c r="A1745" t="s">
        <v>419</v>
      </c>
      <c r="B1745" t="s">
        <v>133</v>
      </c>
      <c r="C1745" s="2">
        <f>HYPERLINK("https://sao.dolgi.msk.ru/account/1404227839/", 1404227839)</f>
        <v>1404227839</v>
      </c>
      <c r="D1745">
        <v>-10169.35</v>
      </c>
    </row>
    <row r="1746" spans="1:4" hidden="1" x14ac:dyDescent="0.25">
      <c r="A1746" t="s">
        <v>419</v>
      </c>
      <c r="B1746" t="s">
        <v>134</v>
      </c>
      <c r="C1746" s="2">
        <f>HYPERLINK("https://sao.dolgi.msk.ru/account/1404229607/", 1404229607)</f>
        <v>1404229607</v>
      </c>
      <c r="D1746">
        <v>0</v>
      </c>
    </row>
    <row r="1747" spans="1:4" hidden="1" x14ac:dyDescent="0.25">
      <c r="A1747" t="s">
        <v>419</v>
      </c>
      <c r="B1747" t="s">
        <v>135</v>
      </c>
      <c r="C1747" s="2">
        <f>HYPERLINK("https://sao.dolgi.msk.ru/account/1404230472/", 1404230472)</f>
        <v>1404230472</v>
      </c>
      <c r="D1747">
        <v>0</v>
      </c>
    </row>
    <row r="1748" spans="1:4" hidden="1" x14ac:dyDescent="0.25">
      <c r="A1748" t="s">
        <v>419</v>
      </c>
      <c r="B1748" t="s">
        <v>136</v>
      </c>
      <c r="C1748" s="2">
        <f>HYPERLINK("https://sao.dolgi.msk.ru/account/1404227353/", 1404227353)</f>
        <v>1404227353</v>
      </c>
      <c r="D1748">
        <v>-4943.08</v>
      </c>
    </row>
    <row r="1749" spans="1:4" x14ac:dyDescent="0.25">
      <c r="A1749" t="s">
        <v>419</v>
      </c>
      <c r="B1749" t="s">
        <v>137</v>
      </c>
      <c r="C1749" s="2">
        <f>HYPERLINK("https://sao.dolgi.msk.ru/account/1404231723/", 1404231723)</f>
        <v>1404231723</v>
      </c>
      <c r="D1749">
        <v>10075.81</v>
      </c>
    </row>
    <row r="1750" spans="1:4" hidden="1" x14ac:dyDescent="0.25">
      <c r="A1750" t="s">
        <v>419</v>
      </c>
      <c r="B1750" t="s">
        <v>138</v>
      </c>
      <c r="C1750" s="2">
        <f>HYPERLINK("https://sao.dolgi.msk.ru/account/1404230907/", 1404230907)</f>
        <v>1404230907</v>
      </c>
      <c r="D1750">
        <v>-5999.18</v>
      </c>
    </row>
    <row r="1751" spans="1:4" hidden="1" x14ac:dyDescent="0.25">
      <c r="A1751" t="s">
        <v>419</v>
      </c>
      <c r="B1751" t="s">
        <v>139</v>
      </c>
      <c r="C1751" s="2">
        <f>HYPERLINK("https://sao.dolgi.msk.ru/account/1404227361/", 1404227361)</f>
        <v>1404227361</v>
      </c>
      <c r="D1751">
        <v>-8109.01</v>
      </c>
    </row>
    <row r="1752" spans="1:4" hidden="1" x14ac:dyDescent="0.25">
      <c r="A1752" t="s">
        <v>419</v>
      </c>
      <c r="B1752" t="s">
        <v>140</v>
      </c>
      <c r="C1752" s="2">
        <f>HYPERLINK("https://sao.dolgi.msk.ru/account/1404228196/", 1404228196)</f>
        <v>1404228196</v>
      </c>
      <c r="D1752">
        <v>0</v>
      </c>
    </row>
    <row r="1753" spans="1:4" hidden="1" x14ac:dyDescent="0.25">
      <c r="A1753" t="s">
        <v>419</v>
      </c>
      <c r="B1753" t="s">
        <v>141</v>
      </c>
      <c r="C1753" s="2">
        <f>HYPERLINK("https://sao.dolgi.msk.ru/account/1404227388/", 1404227388)</f>
        <v>1404227388</v>
      </c>
      <c r="D1753">
        <v>0</v>
      </c>
    </row>
    <row r="1754" spans="1:4" hidden="1" x14ac:dyDescent="0.25">
      <c r="A1754" t="s">
        <v>419</v>
      </c>
      <c r="B1754" t="s">
        <v>142</v>
      </c>
      <c r="C1754" s="2">
        <f>HYPERLINK("https://sao.dolgi.msk.ru/account/1404230069/", 1404230069)</f>
        <v>1404230069</v>
      </c>
      <c r="D1754">
        <v>-4309.17</v>
      </c>
    </row>
    <row r="1755" spans="1:4" hidden="1" x14ac:dyDescent="0.25">
      <c r="A1755" t="s">
        <v>419</v>
      </c>
      <c r="B1755" t="s">
        <v>143</v>
      </c>
      <c r="C1755" s="2">
        <f>HYPERLINK("https://sao.dolgi.msk.ru/account/1404228209/", 1404228209)</f>
        <v>1404228209</v>
      </c>
      <c r="D1755">
        <v>-6295.84</v>
      </c>
    </row>
    <row r="1756" spans="1:4" hidden="1" x14ac:dyDescent="0.25">
      <c r="A1756" t="s">
        <v>419</v>
      </c>
      <c r="B1756" t="s">
        <v>144</v>
      </c>
      <c r="C1756" s="2">
        <f>HYPERLINK("https://sao.dolgi.msk.ru/account/1404229105/", 1404229105)</f>
        <v>1404229105</v>
      </c>
      <c r="D1756">
        <v>-6298.19</v>
      </c>
    </row>
    <row r="1757" spans="1:4" hidden="1" x14ac:dyDescent="0.25">
      <c r="A1757" t="s">
        <v>419</v>
      </c>
      <c r="B1757" t="s">
        <v>145</v>
      </c>
      <c r="C1757" s="2">
        <f>HYPERLINK("https://sao.dolgi.msk.ru/account/1404229113/", 1404229113)</f>
        <v>1404229113</v>
      </c>
      <c r="D1757">
        <v>-7973.3</v>
      </c>
    </row>
    <row r="1758" spans="1:4" x14ac:dyDescent="0.25">
      <c r="A1758" t="s">
        <v>419</v>
      </c>
      <c r="B1758" t="s">
        <v>146</v>
      </c>
      <c r="C1758" s="2">
        <f>HYPERLINK("https://sao.dolgi.msk.ru/account/1404228217/", 1404228217)</f>
        <v>1404228217</v>
      </c>
      <c r="D1758">
        <v>9232.7199999999993</v>
      </c>
    </row>
    <row r="1759" spans="1:4" hidden="1" x14ac:dyDescent="0.25">
      <c r="A1759" t="s">
        <v>419</v>
      </c>
      <c r="B1759" t="s">
        <v>147</v>
      </c>
      <c r="C1759" s="2">
        <f>HYPERLINK("https://sao.dolgi.msk.ru/account/1404229121/", 1404229121)</f>
        <v>1404229121</v>
      </c>
      <c r="D1759">
        <v>-7065.8</v>
      </c>
    </row>
    <row r="1760" spans="1:4" hidden="1" x14ac:dyDescent="0.25">
      <c r="A1760" t="s">
        <v>419</v>
      </c>
      <c r="B1760" t="s">
        <v>148</v>
      </c>
      <c r="C1760" s="2">
        <f>HYPERLINK("https://sao.dolgi.msk.ru/account/1404228612/", 1404228612)</f>
        <v>1404228612</v>
      </c>
      <c r="D1760">
        <v>-4669.34</v>
      </c>
    </row>
    <row r="1761" spans="1:4" hidden="1" x14ac:dyDescent="0.25">
      <c r="A1761" t="s">
        <v>419</v>
      </c>
      <c r="B1761" t="s">
        <v>149</v>
      </c>
      <c r="C1761" s="2">
        <f>HYPERLINK("https://sao.dolgi.msk.ru/account/1404232793/", 1404232793)</f>
        <v>1404232793</v>
      </c>
      <c r="D1761">
        <v>-11098.96</v>
      </c>
    </row>
    <row r="1762" spans="1:4" hidden="1" x14ac:dyDescent="0.25">
      <c r="A1762" t="s">
        <v>419</v>
      </c>
      <c r="B1762" t="s">
        <v>150</v>
      </c>
      <c r="C1762" s="2">
        <f>HYPERLINK("https://sao.dolgi.msk.ru/account/1404231758/", 1404231758)</f>
        <v>1404231758</v>
      </c>
      <c r="D1762">
        <v>-5412.93</v>
      </c>
    </row>
    <row r="1763" spans="1:4" hidden="1" x14ac:dyDescent="0.25">
      <c r="A1763" t="s">
        <v>419</v>
      </c>
      <c r="B1763" t="s">
        <v>151</v>
      </c>
      <c r="C1763" s="2">
        <f>HYPERLINK("https://sao.dolgi.msk.ru/account/1404230966/", 1404230966)</f>
        <v>1404230966</v>
      </c>
      <c r="D1763">
        <v>-4585.8599999999997</v>
      </c>
    </row>
    <row r="1764" spans="1:4" hidden="1" x14ac:dyDescent="0.25">
      <c r="A1764" t="s">
        <v>419</v>
      </c>
      <c r="B1764" t="s">
        <v>152</v>
      </c>
      <c r="C1764" s="2">
        <f>HYPERLINK("https://sao.dolgi.msk.ru/account/1404229471/", 1404229471)</f>
        <v>1404229471</v>
      </c>
      <c r="D1764">
        <v>0</v>
      </c>
    </row>
    <row r="1765" spans="1:4" hidden="1" x14ac:dyDescent="0.25">
      <c r="A1765" t="s">
        <v>419</v>
      </c>
      <c r="B1765" t="s">
        <v>153</v>
      </c>
      <c r="C1765" s="2">
        <f>HYPERLINK("https://sao.dolgi.msk.ru/account/1404229228/", 1404229228)</f>
        <v>1404229228</v>
      </c>
      <c r="D1765">
        <v>-8846.2900000000009</v>
      </c>
    </row>
    <row r="1766" spans="1:4" hidden="1" x14ac:dyDescent="0.25">
      <c r="A1766" t="s">
        <v>419</v>
      </c>
      <c r="B1766" t="s">
        <v>154</v>
      </c>
      <c r="C1766" s="2">
        <f>HYPERLINK("https://sao.dolgi.msk.ru/account/1404230843/", 1404230843)</f>
        <v>1404230843</v>
      </c>
      <c r="D1766">
        <v>-3853.31</v>
      </c>
    </row>
    <row r="1767" spans="1:4" hidden="1" x14ac:dyDescent="0.25">
      <c r="A1767" t="s">
        <v>419</v>
      </c>
      <c r="B1767" t="s">
        <v>155</v>
      </c>
      <c r="C1767" s="2">
        <f>HYPERLINK("https://sao.dolgi.msk.ru/account/1404233921/", 1404233921)</f>
        <v>1404233921</v>
      </c>
      <c r="D1767">
        <v>-1470.5</v>
      </c>
    </row>
    <row r="1768" spans="1:4" hidden="1" x14ac:dyDescent="0.25">
      <c r="A1768" t="s">
        <v>419</v>
      </c>
      <c r="B1768" t="s">
        <v>156</v>
      </c>
      <c r="C1768" s="2">
        <f>HYPERLINK("https://sao.dolgi.msk.ru/account/1404227046/", 1404227046)</f>
        <v>1404227046</v>
      </c>
      <c r="D1768">
        <v>-4135.8</v>
      </c>
    </row>
    <row r="1769" spans="1:4" x14ac:dyDescent="0.25">
      <c r="A1769" t="s">
        <v>419</v>
      </c>
      <c r="B1769" t="s">
        <v>157</v>
      </c>
      <c r="C1769" s="2">
        <f>HYPERLINK("https://sao.dolgi.msk.ru/account/1404227986/", 1404227986)</f>
        <v>1404227986</v>
      </c>
      <c r="D1769">
        <v>1313.84</v>
      </c>
    </row>
    <row r="1770" spans="1:4" hidden="1" x14ac:dyDescent="0.25">
      <c r="A1770" t="s">
        <v>419</v>
      </c>
      <c r="B1770" t="s">
        <v>158</v>
      </c>
      <c r="C1770" s="2">
        <f>HYPERLINK("https://sao.dolgi.msk.ru/account/1404229738/", 1404229738)</f>
        <v>1404229738</v>
      </c>
      <c r="D1770">
        <v>0</v>
      </c>
    </row>
    <row r="1771" spans="1:4" hidden="1" x14ac:dyDescent="0.25">
      <c r="A1771" t="s">
        <v>419</v>
      </c>
      <c r="B1771" t="s">
        <v>159</v>
      </c>
      <c r="C1771" s="2">
        <f>HYPERLINK("https://sao.dolgi.msk.ru/account/1404233657/", 1404233657)</f>
        <v>1404233657</v>
      </c>
      <c r="D1771">
        <v>-7995.96</v>
      </c>
    </row>
    <row r="1772" spans="1:4" hidden="1" x14ac:dyDescent="0.25">
      <c r="A1772" t="s">
        <v>419</v>
      </c>
      <c r="B1772" t="s">
        <v>160</v>
      </c>
      <c r="C1772" s="2">
        <f>HYPERLINK("https://sao.dolgi.msk.ru/account/1404228874/", 1404228874)</f>
        <v>1404228874</v>
      </c>
      <c r="D1772">
        <v>0</v>
      </c>
    </row>
    <row r="1773" spans="1:4" hidden="1" x14ac:dyDescent="0.25">
      <c r="A1773" t="s">
        <v>419</v>
      </c>
      <c r="B1773" t="s">
        <v>161</v>
      </c>
      <c r="C1773" s="2">
        <f>HYPERLINK("https://sao.dolgi.msk.ru/account/1404231811/", 1404231811)</f>
        <v>1404231811</v>
      </c>
      <c r="D1773">
        <v>-9536.08</v>
      </c>
    </row>
    <row r="1774" spans="1:4" x14ac:dyDescent="0.25">
      <c r="A1774" t="s">
        <v>419</v>
      </c>
      <c r="B1774" t="s">
        <v>162</v>
      </c>
      <c r="C1774" s="2">
        <f>HYPERLINK("https://sao.dolgi.msk.ru/account/1404231248/", 1404231248)</f>
        <v>1404231248</v>
      </c>
      <c r="D1774">
        <v>4649.03</v>
      </c>
    </row>
    <row r="1775" spans="1:4" hidden="1" x14ac:dyDescent="0.25">
      <c r="A1775" t="s">
        <v>419</v>
      </c>
      <c r="B1775" t="s">
        <v>163</v>
      </c>
      <c r="C1775" s="2">
        <f>HYPERLINK("https://sao.dolgi.msk.ru/account/1404234019/", 1404234019)</f>
        <v>1404234019</v>
      </c>
      <c r="D1775">
        <v>0</v>
      </c>
    </row>
    <row r="1776" spans="1:4" hidden="1" x14ac:dyDescent="0.25">
      <c r="A1776" t="s">
        <v>419</v>
      </c>
      <c r="B1776" t="s">
        <v>164</v>
      </c>
      <c r="C1776" s="2">
        <f>HYPERLINK("https://sao.dolgi.msk.ru/account/1404229527/", 1404229527)</f>
        <v>1404229527</v>
      </c>
      <c r="D1776">
        <v>-6548.28</v>
      </c>
    </row>
    <row r="1777" spans="1:4" hidden="1" x14ac:dyDescent="0.25">
      <c r="A1777" t="s">
        <v>419</v>
      </c>
      <c r="B1777" t="s">
        <v>165</v>
      </c>
      <c r="C1777" s="2">
        <f>HYPERLINK("https://sao.dolgi.msk.ru/account/1404229535/", 1404229535)</f>
        <v>1404229535</v>
      </c>
      <c r="D1777">
        <v>-9060.5</v>
      </c>
    </row>
    <row r="1778" spans="1:4" hidden="1" x14ac:dyDescent="0.25">
      <c r="A1778" t="s">
        <v>419</v>
      </c>
      <c r="B1778" t="s">
        <v>166</v>
      </c>
      <c r="C1778" s="2">
        <f>HYPERLINK("https://sao.dolgi.msk.ru/account/1404233358/", 1404233358)</f>
        <v>1404233358</v>
      </c>
      <c r="D1778">
        <v>0</v>
      </c>
    </row>
    <row r="1779" spans="1:4" hidden="1" x14ac:dyDescent="0.25">
      <c r="A1779" t="s">
        <v>419</v>
      </c>
      <c r="B1779" t="s">
        <v>167</v>
      </c>
      <c r="C1779" s="2">
        <f>HYPERLINK("https://sao.dolgi.msk.ru/account/1404234529/", 1404234529)</f>
        <v>1404234529</v>
      </c>
      <c r="D1779">
        <v>-4619.6400000000003</v>
      </c>
    </row>
    <row r="1780" spans="1:4" hidden="1" x14ac:dyDescent="0.25">
      <c r="A1780" t="s">
        <v>419</v>
      </c>
      <c r="B1780" t="s">
        <v>168</v>
      </c>
      <c r="C1780" s="2">
        <f>HYPERLINK("https://sao.dolgi.msk.ru/account/1404230421/", 1404230421)</f>
        <v>1404230421</v>
      </c>
      <c r="D1780">
        <v>-5179.63</v>
      </c>
    </row>
    <row r="1781" spans="1:4" x14ac:dyDescent="0.25">
      <c r="A1781" t="s">
        <v>419</v>
      </c>
      <c r="B1781" t="s">
        <v>169</v>
      </c>
      <c r="C1781" s="2">
        <f>HYPERLINK("https://sao.dolgi.msk.ru/account/1404233366/", 1404233366)</f>
        <v>1404233366</v>
      </c>
      <c r="D1781">
        <v>14564.58</v>
      </c>
    </row>
    <row r="1782" spans="1:4" hidden="1" x14ac:dyDescent="0.25">
      <c r="A1782" t="s">
        <v>419</v>
      </c>
      <c r="B1782" t="s">
        <v>170</v>
      </c>
      <c r="C1782" s="2">
        <f>HYPERLINK("https://sao.dolgi.msk.ru/account/1404229543/", 1404229543)</f>
        <v>1404229543</v>
      </c>
      <c r="D1782">
        <v>-1870.15</v>
      </c>
    </row>
    <row r="1783" spans="1:4" hidden="1" x14ac:dyDescent="0.25">
      <c r="A1783" t="s">
        <v>419</v>
      </c>
      <c r="B1783" t="s">
        <v>171</v>
      </c>
      <c r="C1783" s="2">
        <f>HYPERLINK("https://sao.dolgi.msk.ru/account/1404231272/", 1404231272)</f>
        <v>1404231272</v>
      </c>
      <c r="D1783">
        <v>-6457.03</v>
      </c>
    </row>
    <row r="1784" spans="1:4" hidden="1" x14ac:dyDescent="0.25">
      <c r="A1784" t="s">
        <v>419</v>
      </c>
      <c r="B1784" t="s">
        <v>172</v>
      </c>
      <c r="C1784" s="2">
        <f>HYPERLINK("https://sao.dolgi.msk.ru/account/1404229551/", 1404229551)</f>
        <v>1404229551</v>
      </c>
      <c r="D1784">
        <v>-6455.58</v>
      </c>
    </row>
    <row r="1785" spans="1:4" x14ac:dyDescent="0.25">
      <c r="A1785" t="s">
        <v>419</v>
      </c>
      <c r="B1785" t="s">
        <v>173</v>
      </c>
      <c r="C1785" s="2">
        <f>HYPERLINK("https://sao.dolgi.msk.ru/account/1404227054/", 1404227054)</f>
        <v>1404227054</v>
      </c>
      <c r="D1785">
        <v>12301.17</v>
      </c>
    </row>
    <row r="1786" spans="1:4" hidden="1" x14ac:dyDescent="0.25">
      <c r="A1786" t="s">
        <v>419</v>
      </c>
      <c r="B1786" t="s">
        <v>174</v>
      </c>
      <c r="C1786" s="2">
        <f>HYPERLINK("https://sao.dolgi.msk.ru/account/1404229789/", 1404229789)</f>
        <v>1404229789</v>
      </c>
      <c r="D1786">
        <v>-2999.91</v>
      </c>
    </row>
    <row r="1787" spans="1:4" hidden="1" x14ac:dyDescent="0.25">
      <c r="A1787" t="s">
        <v>419</v>
      </c>
      <c r="B1787" t="s">
        <v>175</v>
      </c>
      <c r="C1787" s="2">
        <f>HYPERLINK("https://sao.dolgi.msk.ru/account/1404231504/", 1404231504)</f>
        <v>1404231504</v>
      </c>
      <c r="D1787">
        <v>0</v>
      </c>
    </row>
    <row r="1788" spans="1:4" hidden="1" x14ac:dyDescent="0.25">
      <c r="A1788" t="s">
        <v>419</v>
      </c>
      <c r="B1788" t="s">
        <v>176</v>
      </c>
      <c r="C1788" s="2">
        <f>HYPERLINK("https://sao.dolgi.msk.ru/account/1404230616/", 1404230616)</f>
        <v>1404230616</v>
      </c>
      <c r="D1788">
        <v>-6561.65</v>
      </c>
    </row>
    <row r="1789" spans="1:4" hidden="1" x14ac:dyDescent="0.25">
      <c r="A1789" t="s">
        <v>419</v>
      </c>
      <c r="B1789" t="s">
        <v>177</v>
      </c>
      <c r="C1789" s="2">
        <f>HYPERLINK("https://sao.dolgi.msk.ru/account/1404232814/", 1404232814)</f>
        <v>1404232814</v>
      </c>
      <c r="D1789">
        <v>-9964.42</v>
      </c>
    </row>
    <row r="1790" spans="1:4" hidden="1" x14ac:dyDescent="0.25">
      <c r="A1790" t="s">
        <v>419</v>
      </c>
      <c r="B1790" t="s">
        <v>178</v>
      </c>
      <c r="C1790" s="2">
        <f>HYPERLINK("https://sao.dolgi.msk.ru/account/1404229797/", 1404229797)</f>
        <v>1404229797</v>
      </c>
      <c r="D1790">
        <v>-9320.69</v>
      </c>
    </row>
    <row r="1791" spans="1:4" hidden="1" x14ac:dyDescent="0.25">
      <c r="A1791" t="s">
        <v>419</v>
      </c>
      <c r="B1791" t="s">
        <v>179</v>
      </c>
      <c r="C1791" s="2">
        <f>HYPERLINK("https://sao.dolgi.msk.ru/account/1404230317/", 1404230317)</f>
        <v>1404230317</v>
      </c>
      <c r="D1791">
        <v>-5595.1</v>
      </c>
    </row>
    <row r="1792" spans="1:4" hidden="1" x14ac:dyDescent="0.25">
      <c r="A1792" t="s">
        <v>419</v>
      </c>
      <c r="B1792" t="s">
        <v>180</v>
      </c>
      <c r="C1792" s="2">
        <f>HYPERLINK("https://sao.dolgi.msk.ru/account/1404232507/", 1404232507)</f>
        <v>1404232507</v>
      </c>
      <c r="D1792">
        <v>-13071</v>
      </c>
    </row>
    <row r="1793" spans="1:4" hidden="1" x14ac:dyDescent="0.25">
      <c r="A1793" t="s">
        <v>419</v>
      </c>
      <c r="B1793" t="s">
        <v>181</v>
      </c>
      <c r="C1793" s="2">
        <f>HYPERLINK("https://sao.dolgi.msk.ru/account/1404227062/", 1404227062)</f>
        <v>1404227062</v>
      </c>
      <c r="D1793">
        <v>-11546.15</v>
      </c>
    </row>
    <row r="1794" spans="1:4" hidden="1" x14ac:dyDescent="0.25">
      <c r="A1794" t="s">
        <v>419</v>
      </c>
      <c r="B1794" t="s">
        <v>182</v>
      </c>
      <c r="C1794" s="2">
        <f>HYPERLINK("https://sao.dolgi.msk.ru/account/1404227089/", 1404227089)</f>
        <v>1404227089</v>
      </c>
      <c r="D1794">
        <v>-6037.6</v>
      </c>
    </row>
    <row r="1795" spans="1:4" hidden="1" x14ac:dyDescent="0.25">
      <c r="A1795" t="s">
        <v>419</v>
      </c>
      <c r="B1795" t="s">
        <v>183</v>
      </c>
      <c r="C1795" s="2">
        <f>HYPERLINK("https://sao.dolgi.msk.ru/account/1404228882/", 1404228882)</f>
        <v>1404228882</v>
      </c>
      <c r="D1795">
        <v>-4628.88</v>
      </c>
    </row>
    <row r="1796" spans="1:4" hidden="1" x14ac:dyDescent="0.25">
      <c r="A1796" t="s">
        <v>419</v>
      </c>
      <c r="B1796" t="s">
        <v>184</v>
      </c>
      <c r="C1796" s="2">
        <f>HYPERLINK("https://sao.dolgi.msk.ru/account/1404229615/", 1404229615)</f>
        <v>1404229615</v>
      </c>
      <c r="D1796">
        <v>-4652.6899999999996</v>
      </c>
    </row>
    <row r="1797" spans="1:4" hidden="1" x14ac:dyDescent="0.25">
      <c r="A1797" t="s">
        <v>419</v>
      </c>
      <c r="B1797" t="s">
        <v>185</v>
      </c>
      <c r="C1797" s="2">
        <f>HYPERLINK("https://sao.dolgi.msk.ru/account/1404230499/", 1404230499)</f>
        <v>1404230499</v>
      </c>
      <c r="D1797">
        <v>0</v>
      </c>
    </row>
    <row r="1798" spans="1:4" hidden="1" x14ac:dyDescent="0.25">
      <c r="A1798" t="s">
        <v>419</v>
      </c>
      <c r="B1798" t="s">
        <v>186</v>
      </c>
      <c r="C1798" s="2">
        <f>HYPERLINK("https://sao.dolgi.msk.ru/account/1404234123/", 1404234123)</f>
        <v>1404234123</v>
      </c>
      <c r="D1798">
        <v>0</v>
      </c>
    </row>
    <row r="1799" spans="1:4" x14ac:dyDescent="0.25">
      <c r="A1799" t="s">
        <v>419</v>
      </c>
      <c r="B1799" t="s">
        <v>187</v>
      </c>
      <c r="C1799" s="2">
        <f>HYPERLINK("https://sao.dolgi.msk.ru/account/1404233016/", 1404233016)</f>
        <v>1404233016</v>
      </c>
      <c r="D1799">
        <v>27420.74</v>
      </c>
    </row>
    <row r="1800" spans="1:4" hidden="1" x14ac:dyDescent="0.25">
      <c r="A1800" t="s">
        <v>419</v>
      </c>
      <c r="B1800" t="s">
        <v>188</v>
      </c>
      <c r="C1800" s="2">
        <f>HYPERLINK("https://sao.dolgi.msk.ru/account/1404231731/", 1404231731)</f>
        <v>1404231731</v>
      </c>
      <c r="D1800">
        <v>-7283.05</v>
      </c>
    </row>
    <row r="1801" spans="1:4" hidden="1" x14ac:dyDescent="0.25">
      <c r="A1801" t="s">
        <v>419</v>
      </c>
      <c r="B1801" t="s">
        <v>189</v>
      </c>
      <c r="C1801" s="2">
        <f>HYPERLINK("https://sao.dolgi.msk.ru/account/1404232785/", 1404232785)</f>
        <v>1404232785</v>
      </c>
      <c r="D1801">
        <v>-12420</v>
      </c>
    </row>
    <row r="1802" spans="1:4" hidden="1" x14ac:dyDescent="0.25">
      <c r="A1802" t="s">
        <v>419</v>
      </c>
      <c r="B1802" t="s">
        <v>190</v>
      </c>
      <c r="C1802" s="2">
        <f>HYPERLINK("https://sao.dolgi.msk.ru/account/1404230077/", 1404230077)</f>
        <v>1404230077</v>
      </c>
      <c r="D1802">
        <v>-4740.3999999999996</v>
      </c>
    </row>
    <row r="1803" spans="1:4" hidden="1" x14ac:dyDescent="0.25">
      <c r="A1803" t="s">
        <v>419</v>
      </c>
      <c r="B1803" t="s">
        <v>191</v>
      </c>
      <c r="C1803" s="2">
        <f>HYPERLINK("https://sao.dolgi.msk.ru/account/1404228225/", 1404228225)</f>
        <v>1404228225</v>
      </c>
      <c r="D1803">
        <v>0</v>
      </c>
    </row>
    <row r="1804" spans="1:4" hidden="1" x14ac:dyDescent="0.25">
      <c r="A1804" t="s">
        <v>419</v>
      </c>
      <c r="B1804" t="s">
        <v>192</v>
      </c>
      <c r="C1804" s="2">
        <f>HYPERLINK("https://sao.dolgi.msk.ru/account/1404228292/", 1404228292)</f>
        <v>1404228292</v>
      </c>
      <c r="D1804">
        <v>-7893.47</v>
      </c>
    </row>
    <row r="1805" spans="1:4" x14ac:dyDescent="0.25">
      <c r="A1805" t="s">
        <v>419</v>
      </c>
      <c r="B1805" t="s">
        <v>193</v>
      </c>
      <c r="C1805" s="2">
        <f>HYPERLINK("https://sao.dolgi.msk.ru/account/1404227425/", 1404227425)</f>
        <v>1404227425</v>
      </c>
      <c r="D1805">
        <v>961.19</v>
      </c>
    </row>
    <row r="1806" spans="1:4" hidden="1" x14ac:dyDescent="0.25">
      <c r="A1806" t="s">
        <v>419</v>
      </c>
      <c r="B1806" t="s">
        <v>194</v>
      </c>
      <c r="C1806" s="2">
        <f>HYPERLINK("https://sao.dolgi.msk.ru/account/1404233331/", 1404233331)</f>
        <v>1404233331</v>
      </c>
      <c r="D1806">
        <v>-4988.92</v>
      </c>
    </row>
    <row r="1807" spans="1:4" hidden="1" x14ac:dyDescent="0.25">
      <c r="A1807" t="s">
        <v>419</v>
      </c>
      <c r="B1807" t="s">
        <v>195</v>
      </c>
      <c r="C1807" s="2">
        <f>HYPERLINK("https://sao.dolgi.msk.ru/account/1404227783/", 1404227783)</f>
        <v>1404227783</v>
      </c>
      <c r="D1807">
        <v>-11676.97</v>
      </c>
    </row>
    <row r="1808" spans="1:4" x14ac:dyDescent="0.25">
      <c r="A1808" t="s">
        <v>419</v>
      </c>
      <c r="B1808" t="s">
        <v>196</v>
      </c>
      <c r="C1808" s="2">
        <f>HYPERLINK("https://sao.dolgi.msk.ru/account/1404234502/", 1404234502)</f>
        <v>1404234502</v>
      </c>
      <c r="D1808">
        <v>23230.87</v>
      </c>
    </row>
    <row r="1809" spans="1:4" hidden="1" x14ac:dyDescent="0.25">
      <c r="A1809" t="s">
        <v>419</v>
      </c>
      <c r="B1809" t="s">
        <v>197</v>
      </c>
      <c r="C1809" s="2">
        <f>HYPERLINK("https://sao.dolgi.msk.ru/account/1404231256/", 1404231256)</f>
        <v>1404231256</v>
      </c>
      <c r="D1809">
        <v>-4910.01</v>
      </c>
    </row>
    <row r="1810" spans="1:4" hidden="1" x14ac:dyDescent="0.25">
      <c r="A1810" t="s">
        <v>419</v>
      </c>
      <c r="B1810" t="s">
        <v>198</v>
      </c>
      <c r="C1810" s="2">
        <f>HYPERLINK("https://sao.dolgi.msk.ru/account/1404231264/", 1404231264)</f>
        <v>1404231264</v>
      </c>
      <c r="D1810">
        <v>-3971.68</v>
      </c>
    </row>
    <row r="1811" spans="1:4" x14ac:dyDescent="0.25">
      <c r="A1811" t="s">
        <v>419</v>
      </c>
      <c r="B1811" t="s">
        <v>199</v>
      </c>
      <c r="C1811" s="2">
        <f>HYPERLINK("https://sao.dolgi.msk.ru/account/1404230608/", 1404230608)</f>
        <v>1404230608</v>
      </c>
      <c r="D1811">
        <v>93473.84</v>
      </c>
    </row>
    <row r="1812" spans="1:4" hidden="1" x14ac:dyDescent="0.25">
      <c r="A1812" t="s">
        <v>419</v>
      </c>
      <c r="B1812" t="s">
        <v>200</v>
      </c>
      <c r="C1812" s="2">
        <f>HYPERLINK("https://sao.dolgi.msk.ru/account/1404232494/", 1404232494)</f>
        <v>1404232494</v>
      </c>
      <c r="D1812">
        <v>-6114.14</v>
      </c>
    </row>
    <row r="1813" spans="1:4" hidden="1" x14ac:dyDescent="0.25">
      <c r="A1813" t="s">
        <v>419</v>
      </c>
      <c r="B1813" t="s">
        <v>201</v>
      </c>
      <c r="C1813" s="2">
        <f>HYPERLINK("https://sao.dolgi.msk.ru/account/1404229754/", 1404229754)</f>
        <v>1404229754</v>
      </c>
      <c r="D1813">
        <v>0</v>
      </c>
    </row>
    <row r="1814" spans="1:4" hidden="1" x14ac:dyDescent="0.25">
      <c r="A1814" t="s">
        <v>419</v>
      </c>
      <c r="B1814" t="s">
        <v>202</v>
      </c>
      <c r="C1814" s="2">
        <f>HYPERLINK("https://sao.dolgi.msk.ru/account/1404229762/", 1404229762)</f>
        <v>1404229762</v>
      </c>
      <c r="D1814">
        <v>0</v>
      </c>
    </row>
    <row r="1815" spans="1:4" hidden="1" x14ac:dyDescent="0.25">
      <c r="A1815" t="s">
        <v>419</v>
      </c>
      <c r="B1815" t="s">
        <v>203</v>
      </c>
      <c r="C1815" s="2">
        <f>HYPERLINK("https://sao.dolgi.msk.ru/account/1404232515/", 1404232515)</f>
        <v>1404232515</v>
      </c>
      <c r="D1815">
        <v>0</v>
      </c>
    </row>
    <row r="1816" spans="1:4" hidden="1" x14ac:dyDescent="0.25">
      <c r="A1816" t="s">
        <v>419</v>
      </c>
      <c r="B1816" t="s">
        <v>204</v>
      </c>
      <c r="C1816" s="2">
        <f>HYPERLINK("https://sao.dolgi.msk.ru/account/1404233665/", 1404233665)</f>
        <v>1404233665</v>
      </c>
      <c r="D1816">
        <v>-5166.25</v>
      </c>
    </row>
    <row r="1817" spans="1:4" hidden="1" x14ac:dyDescent="0.25">
      <c r="A1817" t="s">
        <v>419</v>
      </c>
      <c r="B1817" t="s">
        <v>205</v>
      </c>
      <c r="C1817" s="2">
        <f>HYPERLINK("https://sao.dolgi.msk.ru/account/1404229818/", 1404229818)</f>
        <v>1404229818</v>
      </c>
      <c r="D1817">
        <v>0</v>
      </c>
    </row>
    <row r="1818" spans="1:4" hidden="1" x14ac:dyDescent="0.25">
      <c r="A1818" t="s">
        <v>419</v>
      </c>
      <c r="B1818" t="s">
        <v>206</v>
      </c>
      <c r="C1818" s="2">
        <f>HYPERLINK("https://sao.dolgi.msk.ru/account/1404230624/", 1404230624)</f>
        <v>1404230624</v>
      </c>
      <c r="D1818">
        <v>0</v>
      </c>
    </row>
    <row r="1819" spans="1:4" hidden="1" x14ac:dyDescent="0.25">
      <c r="A1819" t="s">
        <v>419</v>
      </c>
      <c r="B1819" t="s">
        <v>207</v>
      </c>
      <c r="C1819" s="2">
        <f>HYPERLINK("https://sao.dolgi.msk.ru/account/1404231926/", 1404231926)</f>
        <v>1404231926</v>
      </c>
      <c r="D1819">
        <v>-9511.32</v>
      </c>
    </row>
    <row r="1820" spans="1:4" x14ac:dyDescent="0.25">
      <c r="A1820" t="s">
        <v>419</v>
      </c>
      <c r="B1820" t="s">
        <v>208</v>
      </c>
      <c r="C1820" s="2">
        <f>HYPERLINK("https://sao.dolgi.msk.ru/account/1404234158/", 1404234158)</f>
        <v>1404234158</v>
      </c>
      <c r="D1820">
        <v>10087.33</v>
      </c>
    </row>
    <row r="1821" spans="1:4" hidden="1" x14ac:dyDescent="0.25">
      <c r="A1821" t="s">
        <v>419</v>
      </c>
      <c r="B1821" t="s">
        <v>209</v>
      </c>
      <c r="C1821" s="2">
        <f>HYPERLINK("https://sao.dolgi.msk.ru/account/1404231942/", 1404231942)</f>
        <v>1404231942</v>
      </c>
      <c r="D1821">
        <v>-4464.53</v>
      </c>
    </row>
    <row r="1822" spans="1:4" hidden="1" x14ac:dyDescent="0.25">
      <c r="A1822" t="s">
        <v>419</v>
      </c>
      <c r="B1822" t="s">
        <v>210</v>
      </c>
      <c r="C1822" s="2">
        <f>HYPERLINK("https://sao.dolgi.msk.ru/account/1404232013/", 1404232013)</f>
        <v>1404232013</v>
      </c>
      <c r="D1822">
        <v>0</v>
      </c>
    </row>
    <row r="1823" spans="1:4" hidden="1" x14ac:dyDescent="0.25">
      <c r="A1823" t="s">
        <v>419</v>
      </c>
      <c r="B1823" t="s">
        <v>211</v>
      </c>
      <c r="C1823" s="2">
        <f>HYPERLINK("https://sao.dolgi.msk.ru/account/1404232021/", 1404232021)</f>
        <v>1404232021</v>
      </c>
      <c r="D1823">
        <v>-8192.16</v>
      </c>
    </row>
    <row r="1824" spans="1:4" hidden="1" x14ac:dyDescent="0.25">
      <c r="A1824" t="s">
        <v>419</v>
      </c>
      <c r="B1824" t="s">
        <v>212</v>
      </c>
      <c r="C1824" s="2">
        <f>HYPERLINK("https://sao.dolgi.msk.ru/account/1404232056/", 1404232056)</f>
        <v>1404232056</v>
      </c>
      <c r="D1824">
        <v>-4069.17</v>
      </c>
    </row>
    <row r="1825" spans="1:4" x14ac:dyDescent="0.25">
      <c r="A1825" t="s">
        <v>419</v>
      </c>
      <c r="B1825" t="s">
        <v>213</v>
      </c>
      <c r="C1825" s="2">
        <f>HYPERLINK("https://sao.dolgi.msk.ru/account/1404228436/", 1404228436)</f>
        <v>1404228436</v>
      </c>
      <c r="D1825">
        <v>3641.35</v>
      </c>
    </row>
    <row r="1826" spans="1:4" hidden="1" x14ac:dyDescent="0.25">
      <c r="A1826" t="s">
        <v>419</v>
      </c>
      <c r="B1826" t="s">
        <v>214</v>
      </c>
      <c r="C1826" s="2">
        <f>HYPERLINK("https://sao.dolgi.msk.ru/account/1404229885/", 1404229885)</f>
        <v>1404229885</v>
      </c>
      <c r="D1826">
        <v>0</v>
      </c>
    </row>
    <row r="1827" spans="1:4" hidden="1" x14ac:dyDescent="0.25">
      <c r="A1827" t="s">
        <v>419</v>
      </c>
      <c r="B1827" t="s">
        <v>215</v>
      </c>
      <c r="C1827" s="2">
        <f>HYPERLINK("https://sao.dolgi.msk.ru/account/1404230691/", 1404230691)</f>
        <v>1404230691</v>
      </c>
      <c r="D1827">
        <v>-138.96</v>
      </c>
    </row>
    <row r="1828" spans="1:4" hidden="1" x14ac:dyDescent="0.25">
      <c r="A1828" t="s">
        <v>419</v>
      </c>
      <c r="B1828" t="s">
        <v>216</v>
      </c>
      <c r="C1828" s="2">
        <f>HYPERLINK("https://sao.dolgi.msk.ru/account/1404228065/", 1404228065)</f>
        <v>1404228065</v>
      </c>
      <c r="D1828">
        <v>-4865.3999999999996</v>
      </c>
    </row>
    <row r="1829" spans="1:4" hidden="1" x14ac:dyDescent="0.25">
      <c r="A1829" t="s">
        <v>419</v>
      </c>
      <c r="B1829" t="s">
        <v>217</v>
      </c>
      <c r="C1829" s="2">
        <f>HYPERLINK("https://sao.dolgi.msk.ru/account/1404227193/", 1404227193)</f>
        <v>1404227193</v>
      </c>
      <c r="D1829">
        <v>0</v>
      </c>
    </row>
    <row r="1830" spans="1:4" hidden="1" x14ac:dyDescent="0.25">
      <c r="A1830" t="s">
        <v>419</v>
      </c>
      <c r="B1830" t="s">
        <v>218</v>
      </c>
      <c r="C1830" s="2">
        <f>HYPERLINK("https://sao.dolgi.msk.ru/account/1404229973/", 1404229973)</f>
        <v>1404229973</v>
      </c>
      <c r="D1830">
        <v>-5238.74</v>
      </c>
    </row>
    <row r="1831" spans="1:4" hidden="1" x14ac:dyDescent="0.25">
      <c r="A1831" t="s">
        <v>419</v>
      </c>
      <c r="B1831" t="s">
        <v>219</v>
      </c>
      <c r="C1831" s="2">
        <f>HYPERLINK("https://sao.dolgi.msk.ru/account/1404227492/", 1404227492)</f>
        <v>1404227492</v>
      </c>
      <c r="D1831">
        <v>0</v>
      </c>
    </row>
    <row r="1832" spans="1:4" hidden="1" x14ac:dyDescent="0.25">
      <c r="A1832" t="s">
        <v>419</v>
      </c>
      <c r="B1832" t="s">
        <v>220</v>
      </c>
      <c r="C1832" s="2">
        <f>HYPERLINK("https://sao.dolgi.msk.ru/account/1404234131/", 1404234131)</f>
        <v>1404234131</v>
      </c>
      <c r="D1832">
        <v>-4045.89</v>
      </c>
    </row>
    <row r="1833" spans="1:4" hidden="1" x14ac:dyDescent="0.25">
      <c r="A1833" t="s">
        <v>419</v>
      </c>
      <c r="B1833" t="s">
        <v>221</v>
      </c>
      <c r="C1833" s="2">
        <f>HYPERLINK("https://sao.dolgi.msk.ru/account/1404233024/", 1404233024)</f>
        <v>1404233024</v>
      </c>
      <c r="D1833">
        <v>0</v>
      </c>
    </row>
    <row r="1834" spans="1:4" hidden="1" x14ac:dyDescent="0.25">
      <c r="A1834" t="s">
        <v>419</v>
      </c>
      <c r="B1834" t="s">
        <v>222</v>
      </c>
      <c r="C1834" s="2">
        <f>HYPERLINK("https://sao.dolgi.msk.ru/account/1404229084/", 1404229084)</f>
        <v>1404229084</v>
      </c>
      <c r="D1834">
        <v>-4541.2700000000004</v>
      </c>
    </row>
    <row r="1835" spans="1:4" hidden="1" x14ac:dyDescent="0.25">
      <c r="A1835" t="s">
        <v>419</v>
      </c>
      <c r="B1835" t="s">
        <v>223</v>
      </c>
      <c r="C1835" s="2">
        <f>HYPERLINK("https://sao.dolgi.msk.ru/account/1404229666/", 1404229666)</f>
        <v>1404229666</v>
      </c>
      <c r="D1835">
        <v>-8721.26</v>
      </c>
    </row>
    <row r="1836" spans="1:4" x14ac:dyDescent="0.25">
      <c r="A1836" t="s">
        <v>419</v>
      </c>
      <c r="B1836" t="s">
        <v>224</v>
      </c>
      <c r="C1836" s="2">
        <f>HYPERLINK("https://sao.dolgi.msk.ru/account/1404227505/", 1404227505)</f>
        <v>1404227505</v>
      </c>
      <c r="D1836">
        <v>7928.19</v>
      </c>
    </row>
    <row r="1837" spans="1:4" hidden="1" x14ac:dyDescent="0.25">
      <c r="A1837" t="s">
        <v>419</v>
      </c>
      <c r="B1837" t="s">
        <v>225</v>
      </c>
      <c r="C1837" s="2">
        <f>HYPERLINK("https://sao.dolgi.msk.ru/account/1404229287/", 1404229287)</f>
        <v>1404229287</v>
      </c>
      <c r="D1837">
        <v>-99.02</v>
      </c>
    </row>
    <row r="1838" spans="1:4" hidden="1" x14ac:dyDescent="0.25">
      <c r="A1838" t="s">
        <v>419</v>
      </c>
      <c r="B1838" t="s">
        <v>226</v>
      </c>
      <c r="C1838" s="2">
        <f>HYPERLINK("https://sao.dolgi.msk.ru/account/1404232806/", 1404232806)</f>
        <v>1404232806</v>
      </c>
      <c r="D1838">
        <v>-6580.55</v>
      </c>
    </row>
    <row r="1839" spans="1:4" hidden="1" x14ac:dyDescent="0.25">
      <c r="A1839" t="s">
        <v>419</v>
      </c>
      <c r="B1839" t="s">
        <v>227</v>
      </c>
      <c r="C1839" s="2">
        <f>HYPERLINK("https://sao.dolgi.msk.ru/account/1404234027/", 1404234027)</f>
        <v>1404234027</v>
      </c>
      <c r="D1839">
        <v>-5908.67</v>
      </c>
    </row>
    <row r="1840" spans="1:4" hidden="1" x14ac:dyDescent="0.25">
      <c r="A1840" t="s">
        <v>419</v>
      </c>
      <c r="B1840" t="s">
        <v>228</v>
      </c>
      <c r="C1840" s="2">
        <f>HYPERLINK("https://sao.dolgi.msk.ru/account/1404233032/", 1404233032)</f>
        <v>1404233032</v>
      </c>
      <c r="D1840">
        <v>0</v>
      </c>
    </row>
    <row r="1841" spans="1:4" hidden="1" x14ac:dyDescent="0.25">
      <c r="A1841" t="s">
        <v>419</v>
      </c>
      <c r="B1841" t="s">
        <v>229</v>
      </c>
      <c r="C1841" s="2">
        <f>HYPERLINK("https://sao.dolgi.msk.ru/account/1404231096/", 1404231096)</f>
        <v>1404231096</v>
      </c>
      <c r="D1841">
        <v>-6067.2</v>
      </c>
    </row>
    <row r="1842" spans="1:4" hidden="1" x14ac:dyDescent="0.25">
      <c r="A1842" t="s">
        <v>419</v>
      </c>
      <c r="B1842" t="s">
        <v>230</v>
      </c>
      <c r="C1842" s="2">
        <f>HYPERLINK("https://sao.dolgi.msk.ru/account/1404228102/", 1404228102)</f>
        <v>1404228102</v>
      </c>
      <c r="D1842">
        <v>-8178.91</v>
      </c>
    </row>
    <row r="1843" spans="1:4" hidden="1" x14ac:dyDescent="0.25">
      <c r="A1843" t="s">
        <v>419</v>
      </c>
      <c r="B1843" t="s">
        <v>231</v>
      </c>
      <c r="C1843" s="2">
        <f>HYPERLINK("https://sao.dolgi.msk.ru/account/1404229383/", 1404229383)</f>
        <v>1404229383</v>
      </c>
      <c r="D1843">
        <v>0</v>
      </c>
    </row>
    <row r="1844" spans="1:4" x14ac:dyDescent="0.25">
      <c r="A1844" t="s">
        <v>419</v>
      </c>
      <c r="B1844" t="s">
        <v>232</v>
      </c>
      <c r="C1844" s="2">
        <f>HYPERLINK("https://sao.dolgi.msk.ru/account/1404231045/", 1404231045)</f>
        <v>1404231045</v>
      </c>
      <c r="D1844">
        <v>5156.46</v>
      </c>
    </row>
    <row r="1845" spans="1:4" hidden="1" x14ac:dyDescent="0.25">
      <c r="A1845" t="s">
        <v>419</v>
      </c>
      <c r="B1845" t="s">
        <v>233</v>
      </c>
      <c r="C1845" s="2">
        <f>HYPERLINK("https://sao.dolgi.msk.ru/account/1404231053/", 1404231053)</f>
        <v>1404231053</v>
      </c>
      <c r="D1845">
        <v>0</v>
      </c>
    </row>
    <row r="1846" spans="1:4" x14ac:dyDescent="0.25">
      <c r="A1846" t="s">
        <v>419</v>
      </c>
      <c r="B1846" t="s">
        <v>234</v>
      </c>
      <c r="C1846" s="2">
        <f>HYPERLINK("https://sao.dolgi.msk.ru/account/1404227695/", 1404227695)</f>
        <v>1404227695</v>
      </c>
      <c r="D1846">
        <v>21481.040000000001</v>
      </c>
    </row>
    <row r="1847" spans="1:4" hidden="1" x14ac:dyDescent="0.25">
      <c r="A1847" t="s">
        <v>419</v>
      </c>
      <c r="B1847" t="s">
        <v>235</v>
      </c>
      <c r="C1847" s="2">
        <f>HYPERLINK("https://sao.dolgi.msk.ru/account/1404231934/", 1404231934)</f>
        <v>1404231934</v>
      </c>
      <c r="D1847">
        <v>0</v>
      </c>
    </row>
    <row r="1848" spans="1:4" hidden="1" x14ac:dyDescent="0.25">
      <c r="A1848" t="s">
        <v>419</v>
      </c>
      <c r="B1848" t="s">
        <v>239</v>
      </c>
      <c r="C1848" s="2">
        <f>HYPERLINK("https://sao.dolgi.msk.ru/account/1404231969/", 1404231969)</f>
        <v>1404231969</v>
      </c>
      <c r="D1848">
        <v>0</v>
      </c>
    </row>
    <row r="1849" spans="1:4" hidden="1" x14ac:dyDescent="0.25">
      <c r="A1849" t="s">
        <v>419</v>
      </c>
      <c r="B1849" t="s">
        <v>240</v>
      </c>
      <c r="C1849" s="2">
        <f>HYPERLINK("https://sao.dolgi.msk.ru/account/1404229332/", 1404229332)</f>
        <v>1404229332</v>
      </c>
      <c r="D1849">
        <v>-7672.24</v>
      </c>
    </row>
    <row r="1850" spans="1:4" hidden="1" x14ac:dyDescent="0.25">
      <c r="A1850" t="s">
        <v>419</v>
      </c>
      <c r="B1850" t="s">
        <v>241</v>
      </c>
      <c r="C1850" s="2">
        <f>HYPERLINK("https://sao.dolgi.msk.ru/account/1404230229/", 1404230229)</f>
        <v>1404230229</v>
      </c>
      <c r="D1850">
        <v>-2452.9499999999998</v>
      </c>
    </row>
    <row r="1851" spans="1:4" hidden="1" x14ac:dyDescent="0.25">
      <c r="A1851" t="s">
        <v>419</v>
      </c>
      <c r="B1851" t="s">
        <v>242</v>
      </c>
      <c r="C1851" s="2">
        <f>HYPERLINK("https://sao.dolgi.msk.ru/account/1404232048/", 1404232048)</f>
        <v>1404232048</v>
      </c>
      <c r="D1851">
        <v>0</v>
      </c>
    </row>
    <row r="1852" spans="1:4" hidden="1" x14ac:dyDescent="0.25">
      <c r="A1852" t="s">
        <v>419</v>
      </c>
      <c r="B1852" t="s">
        <v>243</v>
      </c>
      <c r="C1852" s="2">
        <f>HYPERLINK("https://sao.dolgi.msk.ru/account/1404229412/", 1404229412)</f>
        <v>1404229412</v>
      </c>
      <c r="D1852">
        <v>0</v>
      </c>
    </row>
    <row r="1853" spans="1:4" hidden="1" x14ac:dyDescent="0.25">
      <c r="A1853" t="s">
        <v>419</v>
      </c>
      <c r="B1853" t="s">
        <v>243</v>
      </c>
      <c r="C1853" s="2">
        <f>HYPERLINK("https://sao.dolgi.msk.ru/account/1404233075/", 1404233075)</f>
        <v>1404233075</v>
      </c>
      <c r="D1853">
        <v>0</v>
      </c>
    </row>
    <row r="1854" spans="1:4" hidden="1" x14ac:dyDescent="0.25">
      <c r="A1854" t="s">
        <v>419</v>
      </c>
      <c r="B1854" t="s">
        <v>244</v>
      </c>
      <c r="C1854" s="2">
        <f>HYPERLINK("https://sao.dolgi.msk.ru/account/1404234238/", 1404234238)</f>
        <v>1404234238</v>
      </c>
      <c r="D1854">
        <v>-4540.05</v>
      </c>
    </row>
    <row r="1855" spans="1:4" hidden="1" x14ac:dyDescent="0.25">
      <c r="A1855" t="s">
        <v>419</v>
      </c>
      <c r="B1855" t="s">
        <v>245</v>
      </c>
      <c r="C1855" s="2">
        <f>HYPERLINK("https://sao.dolgi.msk.ru/account/1404227521/", 1404227521)</f>
        <v>1404227521</v>
      </c>
      <c r="D1855">
        <v>-2179.13</v>
      </c>
    </row>
    <row r="1856" spans="1:4" hidden="1" x14ac:dyDescent="0.25">
      <c r="A1856" t="s">
        <v>419</v>
      </c>
      <c r="B1856" t="s">
        <v>246</v>
      </c>
      <c r="C1856" s="2">
        <f>HYPERLINK("https://sao.dolgi.msk.ru/account/1404233083/", 1404233083)</f>
        <v>1404233083</v>
      </c>
      <c r="D1856">
        <v>0</v>
      </c>
    </row>
    <row r="1857" spans="1:4" hidden="1" x14ac:dyDescent="0.25">
      <c r="A1857" t="s">
        <v>419</v>
      </c>
      <c r="B1857" t="s">
        <v>247</v>
      </c>
      <c r="C1857" s="2">
        <f>HYPERLINK("https://sao.dolgi.msk.ru/account/1404229359/", 1404229359)</f>
        <v>1404229359</v>
      </c>
      <c r="D1857">
        <v>-9067.09</v>
      </c>
    </row>
    <row r="1858" spans="1:4" hidden="1" x14ac:dyDescent="0.25">
      <c r="A1858" t="s">
        <v>419</v>
      </c>
      <c r="B1858" t="s">
        <v>248</v>
      </c>
      <c r="C1858" s="2">
        <f>HYPERLINK("https://sao.dolgi.msk.ru/account/1404233091/", 1404233091)</f>
        <v>1404233091</v>
      </c>
      <c r="D1858">
        <v>-7312.17</v>
      </c>
    </row>
    <row r="1859" spans="1:4" hidden="1" x14ac:dyDescent="0.25">
      <c r="A1859" t="s">
        <v>419</v>
      </c>
      <c r="B1859" t="s">
        <v>249</v>
      </c>
      <c r="C1859" s="2">
        <f>HYPERLINK("https://sao.dolgi.msk.ru/account/1404227847/", 1404227847)</f>
        <v>1404227847</v>
      </c>
      <c r="D1859">
        <v>-4937.8599999999997</v>
      </c>
    </row>
    <row r="1860" spans="1:4" hidden="1" x14ac:dyDescent="0.25">
      <c r="A1860" t="s">
        <v>419</v>
      </c>
      <c r="B1860" t="s">
        <v>250</v>
      </c>
      <c r="C1860" s="2">
        <f>HYPERLINK("https://sao.dolgi.msk.ru/account/1404232566/", 1404232566)</f>
        <v>1404232566</v>
      </c>
      <c r="D1860">
        <v>0</v>
      </c>
    </row>
    <row r="1861" spans="1:4" hidden="1" x14ac:dyDescent="0.25">
      <c r="A1861" t="s">
        <v>419</v>
      </c>
      <c r="B1861" t="s">
        <v>251</v>
      </c>
      <c r="C1861" s="2">
        <f>HYPERLINK("https://sao.dolgi.msk.ru/account/1404227177/", 1404227177)</f>
        <v>1404227177</v>
      </c>
      <c r="D1861">
        <v>-6639.56</v>
      </c>
    </row>
    <row r="1862" spans="1:4" hidden="1" x14ac:dyDescent="0.25">
      <c r="A1862" t="s">
        <v>419</v>
      </c>
      <c r="B1862" t="s">
        <v>252</v>
      </c>
      <c r="C1862" s="2">
        <f>HYPERLINK("https://sao.dolgi.msk.ru/account/1404227185/", 1404227185)</f>
        <v>1404227185</v>
      </c>
      <c r="D1862">
        <v>0</v>
      </c>
    </row>
    <row r="1863" spans="1:4" hidden="1" x14ac:dyDescent="0.25">
      <c r="A1863" t="s">
        <v>419</v>
      </c>
      <c r="B1863" t="s">
        <v>253</v>
      </c>
      <c r="C1863" s="2">
        <f>HYPERLINK("https://sao.dolgi.msk.ru/account/1404232574/", 1404232574)</f>
        <v>1404232574</v>
      </c>
      <c r="D1863">
        <v>0</v>
      </c>
    </row>
    <row r="1864" spans="1:4" hidden="1" x14ac:dyDescent="0.25">
      <c r="A1864" t="s">
        <v>419</v>
      </c>
      <c r="B1864" t="s">
        <v>254</v>
      </c>
      <c r="C1864" s="2">
        <f>HYPERLINK("https://sao.dolgi.msk.ru/account/1404228073/", 1404228073)</f>
        <v>1404228073</v>
      </c>
      <c r="D1864">
        <v>0</v>
      </c>
    </row>
    <row r="1865" spans="1:4" x14ac:dyDescent="0.25">
      <c r="A1865" t="s">
        <v>419</v>
      </c>
      <c r="B1865" t="s">
        <v>255</v>
      </c>
      <c r="C1865" s="2">
        <f>HYPERLINK("https://sao.dolgi.msk.ru/account/1404229893/", 1404229893)</f>
        <v>1404229893</v>
      </c>
      <c r="D1865">
        <v>8834.67</v>
      </c>
    </row>
    <row r="1866" spans="1:4" hidden="1" x14ac:dyDescent="0.25">
      <c r="A1866" t="s">
        <v>419</v>
      </c>
      <c r="B1866" t="s">
        <v>256</v>
      </c>
      <c r="C1866" s="2">
        <f>HYPERLINK("https://sao.dolgi.msk.ru/account/1404228997/", 1404228997)</f>
        <v>1404228997</v>
      </c>
      <c r="D1866">
        <v>-3499.62</v>
      </c>
    </row>
    <row r="1867" spans="1:4" hidden="1" x14ac:dyDescent="0.25">
      <c r="A1867" t="s">
        <v>419</v>
      </c>
      <c r="B1867" t="s">
        <v>257</v>
      </c>
      <c r="C1867" s="2">
        <f>HYPERLINK("https://sao.dolgi.msk.ru/account/1404233745/", 1404233745)</f>
        <v>1404233745</v>
      </c>
      <c r="D1867">
        <v>0</v>
      </c>
    </row>
    <row r="1868" spans="1:4" hidden="1" x14ac:dyDescent="0.25">
      <c r="A1868" t="s">
        <v>419</v>
      </c>
      <c r="B1868" t="s">
        <v>258</v>
      </c>
      <c r="C1868" s="2">
        <f>HYPERLINK("https://sao.dolgi.msk.ru/account/1404229906/", 1404229906)</f>
        <v>1404229906</v>
      </c>
      <c r="D1868">
        <v>-9565.59</v>
      </c>
    </row>
    <row r="1869" spans="1:4" hidden="1" x14ac:dyDescent="0.25">
      <c r="A1869" t="s">
        <v>419</v>
      </c>
      <c r="B1869" t="s">
        <v>259</v>
      </c>
      <c r="C1869" s="2">
        <f>HYPERLINK("https://sao.dolgi.msk.ru/account/1404227206/", 1404227206)</f>
        <v>1404227206</v>
      </c>
      <c r="D1869">
        <v>-6043.17</v>
      </c>
    </row>
    <row r="1870" spans="1:4" x14ac:dyDescent="0.25">
      <c r="A1870" t="s">
        <v>419</v>
      </c>
      <c r="B1870" t="s">
        <v>260</v>
      </c>
      <c r="C1870" s="2">
        <f>HYPERLINK("https://sao.dolgi.msk.ru/account/1404230704/", 1404230704)</f>
        <v>1404230704</v>
      </c>
      <c r="D1870">
        <v>11596.64</v>
      </c>
    </row>
    <row r="1871" spans="1:4" hidden="1" x14ac:dyDescent="0.25">
      <c r="A1871" t="s">
        <v>419</v>
      </c>
      <c r="B1871" t="s">
        <v>261</v>
      </c>
      <c r="C1871" s="2">
        <f>HYPERLINK("https://sao.dolgi.msk.ru/account/1404229009/", 1404229009)</f>
        <v>1404229009</v>
      </c>
      <c r="D1871">
        <v>-5010.71</v>
      </c>
    </row>
    <row r="1872" spans="1:4" hidden="1" x14ac:dyDescent="0.25">
      <c r="A1872" t="s">
        <v>419</v>
      </c>
      <c r="B1872" t="s">
        <v>262</v>
      </c>
      <c r="C1872" s="2">
        <f>HYPERLINK("https://sao.dolgi.msk.ru/account/1404233753/", 1404233753)</f>
        <v>1404233753</v>
      </c>
      <c r="D1872">
        <v>-7878.27</v>
      </c>
    </row>
    <row r="1873" spans="1:4" x14ac:dyDescent="0.25">
      <c r="A1873" t="s">
        <v>419</v>
      </c>
      <c r="B1873" t="s">
        <v>263</v>
      </c>
      <c r="C1873" s="2">
        <f>HYPERLINK("https://sao.dolgi.msk.ru/account/1404226895/", 1404226895)</f>
        <v>1404226895</v>
      </c>
      <c r="D1873">
        <v>6645.07</v>
      </c>
    </row>
    <row r="1874" spans="1:4" hidden="1" x14ac:dyDescent="0.25">
      <c r="A1874" t="s">
        <v>419</v>
      </c>
      <c r="B1874" t="s">
        <v>264</v>
      </c>
      <c r="C1874" s="2">
        <f>HYPERLINK("https://sao.dolgi.msk.ru/account/1404227871/", 1404227871)</f>
        <v>1404227871</v>
      </c>
      <c r="D1874">
        <v>0</v>
      </c>
    </row>
    <row r="1875" spans="1:4" hidden="1" x14ac:dyDescent="0.25">
      <c r="A1875" t="s">
        <v>419</v>
      </c>
      <c r="B1875" t="s">
        <v>265</v>
      </c>
      <c r="C1875" s="2">
        <f>HYPERLINK("https://sao.dolgi.msk.ru/account/1404227898/", 1404227898)</f>
        <v>1404227898</v>
      </c>
      <c r="D1875">
        <v>-3588.16</v>
      </c>
    </row>
    <row r="1876" spans="1:4" hidden="1" x14ac:dyDescent="0.25">
      <c r="A1876" t="s">
        <v>419</v>
      </c>
      <c r="B1876" t="s">
        <v>266</v>
      </c>
      <c r="C1876" s="2">
        <f>HYPERLINK("https://sao.dolgi.msk.ru/account/1404230405/", 1404230405)</f>
        <v>1404230405</v>
      </c>
      <c r="D1876">
        <v>0</v>
      </c>
    </row>
    <row r="1877" spans="1:4" hidden="1" x14ac:dyDescent="0.25">
      <c r="A1877" t="s">
        <v>419</v>
      </c>
      <c r="B1877" t="s">
        <v>266</v>
      </c>
      <c r="C1877" s="2">
        <f>HYPERLINK("https://sao.dolgi.msk.ru/account/1404233569/", 1404233569)</f>
        <v>1404233569</v>
      </c>
      <c r="D1877">
        <v>-388.67</v>
      </c>
    </row>
    <row r="1878" spans="1:4" hidden="1" x14ac:dyDescent="0.25">
      <c r="A1878" t="s">
        <v>419</v>
      </c>
      <c r="B1878" t="s">
        <v>267</v>
      </c>
      <c r="C1878" s="2">
        <f>HYPERLINK("https://sao.dolgi.msk.ru/account/1404233948/", 1404233948)</f>
        <v>1404233948</v>
      </c>
      <c r="D1878">
        <v>-31110.75</v>
      </c>
    </row>
    <row r="1879" spans="1:4" hidden="1" x14ac:dyDescent="0.25">
      <c r="A1879" t="s">
        <v>419</v>
      </c>
      <c r="B1879" t="s">
        <v>268</v>
      </c>
      <c r="C1879" s="2">
        <f>HYPERLINK("https://sao.dolgi.msk.ru/account/1404226908/", 1404226908)</f>
        <v>1404226908</v>
      </c>
      <c r="D1879">
        <v>0</v>
      </c>
    </row>
    <row r="1880" spans="1:4" hidden="1" x14ac:dyDescent="0.25">
      <c r="A1880" t="s">
        <v>419</v>
      </c>
      <c r="B1880" t="s">
        <v>269</v>
      </c>
      <c r="C1880" s="2">
        <f>HYPERLINK("https://sao.dolgi.msk.ru/account/1404229914/", 1404229914)</f>
        <v>1404229914</v>
      </c>
      <c r="D1880">
        <v>-4541.2700000000004</v>
      </c>
    </row>
    <row r="1881" spans="1:4" hidden="1" x14ac:dyDescent="0.25">
      <c r="A1881" t="s">
        <v>419</v>
      </c>
      <c r="B1881" t="s">
        <v>270</v>
      </c>
      <c r="C1881" s="2">
        <f>HYPERLINK("https://sao.dolgi.msk.ru/account/1404230552/", 1404230552)</f>
        <v>1404230552</v>
      </c>
      <c r="D1881">
        <v>-6991.75</v>
      </c>
    </row>
    <row r="1882" spans="1:4" hidden="1" x14ac:dyDescent="0.25">
      <c r="A1882" t="s">
        <v>419</v>
      </c>
      <c r="B1882" t="s">
        <v>271</v>
      </c>
      <c r="C1882" s="2">
        <f>HYPERLINK("https://sao.dolgi.msk.ru/account/1404230544/", 1404230544)</f>
        <v>1404230544</v>
      </c>
      <c r="D1882">
        <v>-4632.13</v>
      </c>
    </row>
    <row r="1883" spans="1:4" x14ac:dyDescent="0.25">
      <c r="A1883" t="s">
        <v>419</v>
      </c>
      <c r="B1883" t="s">
        <v>272</v>
      </c>
      <c r="C1883" s="2">
        <f>HYPERLINK("https://sao.dolgi.msk.ru/account/1404228786/", 1404228786)</f>
        <v>1404228786</v>
      </c>
      <c r="D1883">
        <v>43680.04</v>
      </c>
    </row>
    <row r="1884" spans="1:4" hidden="1" x14ac:dyDescent="0.25">
      <c r="A1884" t="s">
        <v>419</v>
      </c>
      <c r="B1884" t="s">
        <v>273</v>
      </c>
      <c r="C1884" s="2">
        <f>HYPERLINK("https://sao.dolgi.msk.ru/account/1404227919/", 1404227919)</f>
        <v>1404227919</v>
      </c>
      <c r="D1884">
        <v>-3355.1</v>
      </c>
    </row>
    <row r="1885" spans="1:4" x14ac:dyDescent="0.25">
      <c r="A1885" t="s">
        <v>419</v>
      </c>
      <c r="B1885" t="s">
        <v>274</v>
      </c>
      <c r="C1885" s="2">
        <f>HYPERLINK("https://sao.dolgi.msk.ru/account/1404226916/", 1404226916)</f>
        <v>1404226916</v>
      </c>
      <c r="D1885">
        <v>6302.64</v>
      </c>
    </row>
    <row r="1886" spans="1:4" hidden="1" x14ac:dyDescent="0.25">
      <c r="A1886" t="s">
        <v>419</v>
      </c>
      <c r="B1886" t="s">
        <v>275</v>
      </c>
      <c r="C1886" s="2">
        <f>HYPERLINK("https://sao.dolgi.msk.ru/account/1404230579/", 1404230579)</f>
        <v>1404230579</v>
      </c>
      <c r="D1886">
        <v>-6999.73</v>
      </c>
    </row>
    <row r="1887" spans="1:4" hidden="1" x14ac:dyDescent="0.25">
      <c r="A1887" t="s">
        <v>419</v>
      </c>
      <c r="B1887" t="s">
        <v>276</v>
      </c>
      <c r="C1887" s="2">
        <f>HYPERLINK("https://sao.dolgi.msk.ru/account/1404226924/", 1404226924)</f>
        <v>1404226924</v>
      </c>
      <c r="D1887">
        <v>-4721.87</v>
      </c>
    </row>
    <row r="1888" spans="1:4" x14ac:dyDescent="0.25">
      <c r="A1888" t="s">
        <v>419</v>
      </c>
      <c r="B1888" t="s">
        <v>279</v>
      </c>
      <c r="C1888" s="2">
        <f>HYPERLINK("https://sao.dolgi.msk.ru/account/1404229631/", 1404229631)</f>
        <v>1404229631</v>
      </c>
      <c r="D1888">
        <v>10263.51</v>
      </c>
    </row>
    <row r="1889" spans="1:4" x14ac:dyDescent="0.25">
      <c r="A1889" t="s">
        <v>419</v>
      </c>
      <c r="B1889" t="s">
        <v>280</v>
      </c>
      <c r="C1889" s="2">
        <f>HYPERLINK("https://sao.dolgi.msk.ru/account/1404229658/", 1404229658)</f>
        <v>1404229658</v>
      </c>
      <c r="D1889">
        <v>941.8</v>
      </c>
    </row>
    <row r="1890" spans="1:4" hidden="1" x14ac:dyDescent="0.25">
      <c r="A1890" t="s">
        <v>419</v>
      </c>
      <c r="B1890" t="s">
        <v>281</v>
      </c>
      <c r="C1890" s="2">
        <f>HYPERLINK("https://sao.dolgi.msk.ru/account/1404227935/", 1404227935)</f>
        <v>1404227935</v>
      </c>
      <c r="D1890">
        <v>-4396.97</v>
      </c>
    </row>
    <row r="1891" spans="1:4" hidden="1" x14ac:dyDescent="0.25">
      <c r="A1891" t="s">
        <v>419</v>
      </c>
      <c r="B1891" t="s">
        <v>282</v>
      </c>
      <c r="C1891" s="2">
        <f>HYPERLINK("https://sao.dolgi.msk.ru/account/1404228268/", 1404228268)</f>
        <v>1404228268</v>
      </c>
      <c r="D1891">
        <v>0</v>
      </c>
    </row>
    <row r="1892" spans="1:4" x14ac:dyDescent="0.25">
      <c r="A1892" t="s">
        <v>419</v>
      </c>
      <c r="B1892" t="s">
        <v>283</v>
      </c>
      <c r="C1892" s="2">
        <f>HYPERLINK("https://sao.dolgi.msk.ru/account/1404228276/", 1404228276)</f>
        <v>1404228276</v>
      </c>
      <c r="D1892">
        <v>171.81</v>
      </c>
    </row>
    <row r="1893" spans="1:4" hidden="1" x14ac:dyDescent="0.25">
      <c r="A1893" t="s">
        <v>419</v>
      </c>
      <c r="B1893" t="s">
        <v>284</v>
      </c>
      <c r="C1893" s="2">
        <f>HYPERLINK("https://sao.dolgi.msk.ru/account/1404229156/", 1404229156)</f>
        <v>1404229156</v>
      </c>
      <c r="D1893">
        <v>-6616.83</v>
      </c>
    </row>
    <row r="1894" spans="1:4" hidden="1" x14ac:dyDescent="0.25">
      <c r="A1894" t="s">
        <v>419</v>
      </c>
      <c r="B1894" t="s">
        <v>285</v>
      </c>
      <c r="C1894" s="2">
        <f>HYPERLINK("https://sao.dolgi.msk.ru/account/1404229164/", 1404229164)</f>
        <v>1404229164</v>
      </c>
      <c r="D1894">
        <v>-3288.08</v>
      </c>
    </row>
    <row r="1895" spans="1:4" hidden="1" x14ac:dyDescent="0.25">
      <c r="A1895" t="s">
        <v>419</v>
      </c>
      <c r="B1895" t="s">
        <v>286</v>
      </c>
      <c r="C1895" s="2">
        <f>HYPERLINK("https://sao.dolgi.msk.ru/account/1404227409/", 1404227409)</f>
        <v>1404227409</v>
      </c>
      <c r="D1895">
        <v>-8478.73</v>
      </c>
    </row>
    <row r="1896" spans="1:4" x14ac:dyDescent="0.25">
      <c r="A1896" t="s">
        <v>419</v>
      </c>
      <c r="B1896" t="s">
        <v>287</v>
      </c>
      <c r="C1896" s="2">
        <f>HYPERLINK("https://sao.dolgi.msk.ru/account/1404227556/", 1404227556)</f>
        <v>1404227556</v>
      </c>
      <c r="D1896">
        <v>11852.71</v>
      </c>
    </row>
    <row r="1897" spans="1:4" x14ac:dyDescent="0.25">
      <c r="A1897" t="s">
        <v>419</v>
      </c>
      <c r="B1897" t="s">
        <v>288</v>
      </c>
      <c r="C1897" s="2">
        <f>HYPERLINK("https://sao.dolgi.msk.ru/account/1404232179/", 1404232179)</f>
        <v>1404232179</v>
      </c>
      <c r="D1897">
        <v>13142.88</v>
      </c>
    </row>
    <row r="1898" spans="1:4" x14ac:dyDescent="0.25">
      <c r="A1898" t="s">
        <v>419</v>
      </c>
      <c r="B1898" t="s">
        <v>289</v>
      </c>
      <c r="C1898" s="2">
        <f>HYPERLINK("https://sao.dolgi.msk.ru/account/1404227708/", 1404227708)</f>
        <v>1404227708</v>
      </c>
      <c r="D1898">
        <v>17172.22</v>
      </c>
    </row>
    <row r="1899" spans="1:4" hidden="1" x14ac:dyDescent="0.25">
      <c r="A1899" t="s">
        <v>419</v>
      </c>
      <c r="B1899" t="s">
        <v>290</v>
      </c>
      <c r="C1899" s="2">
        <f>HYPERLINK("https://sao.dolgi.msk.ru/account/1404233307/", 1404233307)</f>
        <v>1404233307</v>
      </c>
      <c r="D1899">
        <v>0</v>
      </c>
    </row>
    <row r="1900" spans="1:4" x14ac:dyDescent="0.25">
      <c r="A1900" t="s">
        <v>419</v>
      </c>
      <c r="B1900" t="s">
        <v>291</v>
      </c>
      <c r="C1900" s="2">
        <f>HYPERLINK("https://sao.dolgi.msk.ru/account/1404232208/", 1404232208)</f>
        <v>1404232208</v>
      </c>
      <c r="D1900">
        <v>3667.02</v>
      </c>
    </row>
    <row r="1901" spans="1:4" x14ac:dyDescent="0.25">
      <c r="A1901" t="s">
        <v>419</v>
      </c>
      <c r="B1901" t="s">
        <v>292</v>
      </c>
      <c r="C1901" s="2">
        <f>HYPERLINK("https://sao.dolgi.msk.ru/account/1404230413/", 1404230413)</f>
        <v>1404230413</v>
      </c>
      <c r="D1901">
        <v>39336.97</v>
      </c>
    </row>
    <row r="1902" spans="1:4" hidden="1" x14ac:dyDescent="0.25">
      <c r="A1902" t="s">
        <v>419</v>
      </c>
      <c r="B1902" t="s">
        <v>293</v>
      </c>
      <c r="C1902" s="2">
        <f>HYPERLINK("https://sao.dolgi.msk.ru/account/1404227716/", 1404227716)</f>
        <v>1404227716</v>
      </c>
      <c r="D1902">
        <v>-9184.83</v>
      </c>
    </row>
    <row r="1903" spans="1:4" hidden="1" x14ac:dyDescent="0.25">
      <c r="A1903" t="s">
        <v>419</v>
      </c>
      <c r="B1903" t="s">
        <v>294</v>
      </c>
      <c r="C1903" s="2">
        <f>HYPERLINK("https://sao.dolgi.msk.ru/account/1404231184/", 1404231184)</f>
        <v>1404231184</v>
      </c>
      <c r="D1903">
        <v>-8726.07</v>
      </c>
    </row>
    <row r="1904" spans="1:4" hidden="1" x14ac:dyDescent="0.25">
      <c r="A1904" t="s">
        <v>419</v>
      </c>
      <c r="B1904" t="s">
        <v>295</v>
      </c>
      <c r="C1904" s="2">
        <f>HYPERLINK("https://sao.dolgi.msk.ru/account/1404233315/", 1404233315)</f>
        <v>1404233315</v>
      </c>
      <c r="D1904">
        <v>0</v>
      </c>
    </row>
    <row r="1905" spans="1:4" hidden="1" x14ac:dyDescent="0.25">
      <c r="A1905" t="s">
        <v>419</v>
      </c>
      <c r="B1905" t="s">
        <v>296</v>
      </c>
      <c r="C1905" s="2">
        <f>HYPERLINK("https://sao.dolgi.msk.ru/account/1404233323/", 1404233323)</f>
        <v>1404233323</v>
      </c>
      <c r="D1905">
        <v>-1048.01</v>
      </c>
    </row>
    <row r="1906" spans="1:4" hidden="1" x14ac:dyDescent="0.25">
      <c r="A1906" t="s">
        <v>419</v>
      </c>
      <c r="B1906" t="s">
        <v>297</v>
      </c>
      <c r="C1906" s="2">
        <f>HYPERLINK("https://sao.dolgi.msk.ru/account/1404227134/", 1404227134)</f>
        <v>1404227134</v>
      </c>
      <c r="D1906">
        <v>-9099.86</v>
      </c>
    </row>
    <row r="1907" spans="1:4" x14ac:dyDescent="0.25">
      <c r="A1907" t="s">
        <v>419</v>
      </c>
      <c r="B1907" t="s">
        <v>298</v>
      </c>
      <c r="C1907" s="2">
        <f>HYPERLINK("https://sao.dolgi.msk.ru/account/1404228946/", 1404228946)</f>
        <v>1404228946</v>
      </c>
      <c r="D1907">
        <v>4123.46</v>
      </c>
    </row>
    <row r="1908" spans="1:4" hidden="1" x14ac:dyDescent="0.25">
      <c r="A1908" t="s">
        <v>419</v>
      </c>
      <c r="B1908" t="s">
        <v>299</v>
      </c>
      <c r="C1908" s="2">
        <f>HYPERLINK("https://sao.dolgi.msk.ru/account/1404230675/", 1404230675)</f>
        <v>1404230675</v>
      </c>
      <c r="D1908">
        <v>-3650.64</v>
      </c>
    </row>
    <row r="1909" spans="1:4" hidden="1" x14ac:dyDescent="0.25">
      <c r="A1909" t="s">
        <v>419</v>
      </c>
      <c r="B1909" t="s">
        <v>300</v>
      </c>
      <c r="C1909" s="2">
        <f>HYPERLINK("https://sao.dolgi.msk.ru/account/1404228532/", 1404228532)</f>
        <v>1404228532</v>
      </c>
      <c r="D1909">
        <v>0</v>
      </c>
    </row>
    <row r="1910" spans="1:4" hidden="1" x14ac:dyDescent="0.25">
      <c r="A1910" t="s">
        <v>419</v>
      </c>
      <c r="B1910" t="s">
        <v>301</v>
      </c>
      <c r="C1910" s="2">
        <f>HYPERLINK("https://sao.dolgi.msk.ru/account/1404230683/", 1404230683)</f>
        <v>1404230683</v>
      </c>
      <c r="D1910">
        <v>-4512.8</v>
      </c>
    </row>
    <row r="1911" spans="1:4" hidden="1" x14ac:dyDescent="0.25">
      <c r="A1911" t="s">
        <v>419</v>
      </c>
      <c r="B1911" t="s">
        <v>301</v>
      </c>
      <c r="C1911" s="2">
        <f>HYPERLINK("https://sao.dolgi.msk.ru/account/1404232099/", 1404232099)</f>
        <v>1404232099</v>
      </c>
      <c r="D1911">
        <v>-1367.09</v>
      </c>
    </row>
    <row r="1912" spans="1:4" x14ac:dyDescent="0.25">
      <c r="A1912" t="s">
        <v>419</v>
      </c>
      <c r="B1912" t="s">
        <v>302</v>
      </c>
      <c r="C1912" s="2">
        <f>HYPERLINK("https://sao.dolgi.msk.ru/account/1404230253/", 1404230253)</f>
        <v>1404230253</v>
      </c>
      <c r="D1912">
        <v>2524.8000000000002</v>
      </c>
    </row>
    <row r="1913" spans="1:4" hidden="1" x14ac:dyDescent="0.25">
      <c r="A1913" t="s">
        <v>419</v>
      </c>
      <c r="B1913" t="s">
        <v>303</v>
      </c>
      <c r="C1913" s="2">
        <f>HYPERLINK("https://sao.dolgi.msk.ru/account/1404234473/", 1404234473)</f>
        <v>1404234473</v>
      </c>
      <c r="D1913">
        <v>0</v>
      </c>
    </row>
    <row r="1914" spans="1:4" hidden="1" x14ac:dyDescent="0.25">
      <c r="A1914" t="s">
        <v>419</v>
      </c>
      <c r="B1914" t="s">
        <v>304</v>
      </c>
      <c r="C1914" s="2">
        <f>HYPERLINK("https://sao.dolgi.msk.ru/account/1404232072/", 1404232072)</f>
        <v>1404232072</v>
      </c>
      <c r="D1914">
        <v>-4795.38</v>
      </c>
    </row>
    <row r="1915" spans="1:4" hidden="1" x14ac:dyDescent="0.25">
      <c r="A1915" t="s">
        <v>419</v>
      </c>
      <c r="B1915" t="s">
        <v>305</v>
      </c>
      <c r="C1915" s="2">
        <f>HYPERLINK("https://sao.dolgi.msk.ru/account/1404234262/", 1404234262)</f>
        <v>1404234262</v>
      </c>
      <c r="D1915">
        <v>-6939.01</v>
      </c>
    </row>
    <row r="1916" spans="1:4" hidden="1" x14ac:dyDescent="0.25">
      <c r="A1916" t="s">
        <v>419</v>
      </c>
      <c r="B1916" t="s">
        <v>306</v>
      </c>
      <c r="C1916" s="2">
        <f>HYPERLINK("https://sao.dolgi.msk.ru/account/1404230376/", 1404230376)</f>
        <v>1404230376</v>
      </c>
      <c r="D1916">
        <v>-6713.47</v>
      </c>
    </row>
    <row r="1917" spans="1:4" x14ac:dyDescent="0.25">
      <c r="A1917" t="s">
        <v>419</v>
      </c>
      <c r="B1917" t="s">
        <v>307</v>
      </c>
      <c r="C1917" s="2">
        <f>HYPERLINK("https://sao.dolgi.msk.ru/account/1404231643/", 1404231643)</f>
        <v>1404231643</v>
      </c>
      <c r="D1917">
        <v>28457.41</v>
      </c>
    </row>
    <row r="1918" spans="1:4" x14ac:dyDescent="0.25">
      <c r="A1918" t="s">
        <v>419</v>
      </c>
      <c r="B1918" t="s">
        <v>308</v>
      </c>
      <c r="C1918" s="2">
        <f>HYPERLINK("https://sao.dolgi.msk.ru/account/1404230034/", 1404230034)</f>
        <v>1404230034</v>
      </c>
      <c r="D1918">
        <v>8223.08</v>
      </c>
    </row>
    <row r="1919" spans="1:4" hidden="1" x14ac:dyDescent="0.25">
      <c r="A1919" t="s">
        <v>419</v>
      </c>
      <c r="B1919" t="s">
        <v>309</v>
      </c>
      <c r="C1919" s="2">
        <f>HYPERLINK("https://sao.dolgi.msk.ru/account/1404229076/", 1404229076)</f>
        <v>1404229076</v>
      </c>
      <c r="D1919">
        <v>-8163.48</v>
      </c>
    </row>
    <row r="1920" spans="1:4" hidden="1" x14ac:dyDescent="0.25">
      <c r="A1920" t="s">
        <v>419</v>
      </c>
      <c r="B1920" t="s">
        <v>310</v>
      </c>
      <c r="C1920" s="2">
        <f>HYPERLINK("https://sao.dolgi.msk.ru/account/1404233964/", 1404233964)</f>
        <v>1404233964</v>
      </c>
      <c r="D1920">
        <v>-8536.56</v>
      </c>
    </row>
    <row r="1921" spans="1:4" hidden="1" x14ac:dyDescent="0.25">
      <c r="A1921" t="s">
        <v>419</v>
      </c>
      <c r="B1921" t="s">
        <v>311</v>
      </c>
      <c r="C1921" s="2">
        <f>HYPERLINK("https://sao.dolgi.msk.ru/account/1404230894/", 1404230894)</f>
        <v>1404230894</v>
      </c>
      <c r="D1921">
        <v>-4431.09</v>
      </c>
    </row>
    <row r="1922" spans="1:4" hidden="1" x14ac:dyDescent="0.25">
      <c r="A1922" t="s">
        <v>419</v>
      </c>
      <c r="B1922" t="s">
        <v>312</v>
      </c>
      <c r="C1922" s="2">
        <f>HYPERLINK("https://sao.dolgi.msk.ru/account/1404230042/", 1404230042)</f>
        <v>1404230042</v>
      </c>
      <c r="D1922">
        <v>0</v>
      </c>
    </row>
    <row r="1923" spans="1:4" x14ac:dyDescent="0.25">
      <c r="A1923" t="s">
        <v>419</v>
      </c>
      <c r="B1923" t="s">
        <v>313</v>
      </c>
      <c r="C1923" s="2">
        <f>HYPERLINK("https://sao.dolgi.msk.ru/account/1404229463/", 1404229463)</f>
        <v>1404229463</v>
      </c>
      <c r="D1923">
        <v>21634.17</v>
      </c>
    </row>
    <row r="1924" spans="1:4" hidden="1" x14ac:dyDescent="0.25">
      <c r="A1924" t="s">
        <v>419</v>
      </c>
      <c r="B1924" t="s">
        <v>314</v>
      </c>
      <c r="C1924" s="2">
        <f>HYPERLINK("https://sao.dolgi.msk.ru/account/1404233956/", 1404233956)</f>
        <v>1404233956</v>
      </c>
      <c r="D1924">
        <v>0</v>
      </c>
    </row>
    <row r="1925" spans="1:4" hidden="1" x14ac:dyDescent="0.25">
      <c r="A1925" t="s">
        <v>419</v>
      </c>
      <c r="B1925" t="s">
        <v>315</v>
      </c>
      <c r="C1925" s="2">
        <f>HYPERLINK("https://sao.dolgi.msk.ru/account/1404232216/", 1404232216)</f>
        <v>1404232216</v>
      </c>
      <c r="D1925">
        <v>-5545</v>
      </c>
    </row>
    <row r="1926" spans="1:4" hidden="1" x14ac:dyDescent="0.25">
      <c r="A1926" t="s">
        <v>419</v>
      </c>
      <c r="B1926" t="s">
        <v>316</v>
      </c>
      <c r="C1926" s="2">
        <f>HYPERLINK("https://sao.dolgi.msk.ru/account/1404232777/", 1404232777)</f>
        <v>1404232777</v>
      </c>
      <c r="D1926">
        <v>-6476.9</v>
      </c>
    </row>
    <row r="1927" spans="1:4" hidden="1" x14ac:dyDescent="0.25">
      <c r="A1927" t="s">
        <v>419</v>
      </c>
      <c r="B1927" t="s">
        <v>317</v>
      </c>
      <c r="C1927" s="2">
        <f>HYPERLINK("https://sao.dolgi.msk.ru/account/1404234414/", 1404234414)</f>
        <v>1404234414</v>
      </c>
      <c r="D1927">
        <v>-9081.84</v>
      </c>
    </row>
    <row r="1928" spans="1:4" hidden="1" x14ac:dyDescent="0.25">
      <c r="A1928" t="s">
        <v>419</v>
      </c>
      <c r="B1928" t="s">
        <v>318</v>
      </c>
      <c r="C1928" s="2">
        <f>HYPERLINK("https://sao.dolgi.msk.ru/account/1404234422/", 1404234422)</f>
        <v>1404234422</v>
      </c>
      <c r="D1928">
        <v>-9691.35</v>
      </c>
    </row>
    <row r="1929" spans="1:4" hidden="1" x14ac:dyDescent="0.25">
      <c r="A1929" t="s">
        <v>419</v>
      </c>
      <c r="B1929" t="s">
        <v>319</v>
      </c>
      <c r="C1929" s="2">
        <f>HYPERLINK("https://sao.dolgi.msk.ru/account/1404230106/", 1404230106)</f>
        <v>1404230106</v>
      </c>
      <c r="D1929">
        <v>0</v>
      </c>
    </row>
    <row r="1930" spans="1:4" x14ac:dyDescent="0.25">
      <c r="A1930" t="s">
        <v>419</v>
      </c>
      <c r="B1930" t="s">
        <v>422</v>
      </c>
      <c r="C1930" s="2">
        <f>HYPERLINK("https://sao.dolgi.msk.ru/account/1404228639/", 1404228639)</f>
        <v>1404228639</v>
      </c>
      <c r="D1930">
        <v>12631.99</v>
      </c>
    </row>
    <row r="1931" spans="1:4" hidden="1" x14ac:dyDescent="0.25">
      <c r="A1931" t="s">
        <v>419</v>
      </c>
      <c r="B1931" t="s">
        <v>423</v>
      </c>
      <c r="C1931" s="2">
        <f>HYPERLINK("https://sao.dolgi.msk.ru/account/1404231192/", 1404231192)</f>
        <v>1404231192</v>
      </c>
      <c r="D1931">
        <v>-8402.93</v>
      </c>
    </row>
    <row r="1932" spans="1:4" hidden="1" x14ac:dyDescent="0.25">
      <c r="A1932" t="s">
        <v>419</v>
      </c>
      <c r="B1932" t="s">
        <v>424</v>
      </c>
      <c r="C1932" s="2">
        <f>HYPERLINK("https://sao.dolgi.msk.ru/account/1404229498/", 1404229498)</f>
        <v>1404229498</v>
      </c>
      <c r="D1932">
        <v>0</v>
      </c>
    </row>
    <row r="1933" spans="1:4" x14ac:dyDescent="0.25">
      <c r="A1933" t="s">
        <v>419</v>
      </c>
      <c r="B1933" t="s">
        <v>425</v>
      </c>
      <c r="C1933" s="2">
        <f>HYPERLINK("https://sao.dolgi.msk.ru/account/1404232224/", 1404232224)</f>
        <v>1404232224</v>
      </c>
      <c r="D1933">
        <v>10842.81</v>
      </c>
    </row>
    <row r="1934" spans="1:4" hidden="1" x14ac:dyDescent="0.25">
      <c r="A1934" t="s">
        <v>419</v>
      </c>
      <c r="B1934" t="s">
        <v>426</v>
      </c>
      <c r="C1934" s="2">
        <f>HYPERLINK("https://sao.dolgi.msk.ru/account/1404227724/", 1404227724)</f>
        <v>1404227724</v>
      </c>
      <c r="D1934">
        <v>-4833.83</v>
      </c>
    </row>
    <row r="1935" spans="1:4" hidden="1" x14ac:dyDescent="0.25">
      <c r="A1935" t="s">
        <v>419</v>
      </c>
      <c r="B1935" t="s">
        <v>427</v>
      </c>
      <c r="C1935" s="2">
        <f>HYPERLINK("https://sao.dolgi.msk.ru/account/1404230667/", 1404230667)</f>
        <v>1404230667</v>
      </c>
      <c r="D1935">
        <v>-9801.89</v>
      </c>
    </row>
    <row r="1936" spans="1:4" hidden="1" x14ac:dyDescent="0.25">
      <c r="A1936" t="s">
        <v>419</v>
      </c>
      <c r="B1936" t="s">
        <v>428</v>
      </c>
      <c r="C1936" s="2">
        <f>HYPERLINK("https://sao.dolgi.msk.ru/account/1404232523/", 1404232523)</f>
        <v>1404232523</v>
      </c>
      <c r="D1936">
        <v>0</v>
      </c>
    </row>
    <row r="1937" spans="1:4" hidden="1" x14ac:dyDescent="0.25">
      <c r="A1937" t="s">
        <v>419</v>
      </c>
      <c r="B1937" t="s">
        <v>321</v>
      </c>
      <c r="C1937" s="2">
        <f>HYPERLINK("https://sao.dolgi.msk.ru/account/1404229519/", 1404229519)</f>
        <v>1404229519</v>
      </c>
      <c r="D1937">
        <v>-4322.59</v>
      </c>
    </row>
    <row r="1938" spans="1:4" hidden="1" x14ac:dyDescent="0.25">
      <c r="A1938" t="s">
        <v>419</v>
      </c>
      <c r="B1938" t="s">
        <v>322</v>
      </c>
      <c r="C1938" s="2">
        <f>HYPERLINK("https://sao.dolgi.msk.ru/account/1404231563/", 1404231563)</f>
        <v>1404231563</v>
      </c>
      <c r="D1938">
        <v>-6980.16</v>
      </c>
    </row>
    <row r="1939" spans="1:4" hidden="1" x14ac:dyDescent="0.25">
      <c r="A1939" t="s">
        <v>419</v>
      </c>
      <c r="B1939" t="s">
        <v>323</v>
      </c>
      <c r="C1939" s="2">
        <f>HYPERLINK("https://sao.dolgi.msk.ru/account/1404227636/", 1404227636)</f>
        <v>1404227636</v>
      </c>
      <c r="D1939">
        <v>-8477.61</v>
      </c>
    </row>
    <row r="1940" spans="1:4" hidden="1" x14ac:dyDescent="0.25">
      <c r="A1940" t="s">
        <v>419</v>
      </c>
      <c r="B1940" t="s">
        <v>324</v>
      </c>
      <c r="C1940" s="2">
        <f>HYPERLINK("https://sao.dolgi.msk.ru/account/1404227732/", 1404227732)</f>
        <v>1404227732</v>
      </c>
      <c r="D1940">
        <v>-8911.44</v>
      </c>
    </row>
    <row r="1941" spans="1:4" x14ac:dyDescent="0.25">
      <c r="A1941" t="s">
        <v>419</v>
      </c>
      <c r="B1941" t="s">
        <v>325</v>
      </c>
      <c r="C1941" s="2">
        <f>HYPERLINK("https://sao.dolgi.msk.ru/account/1404227679/", 1404227679)</f>
        <v>1404227679</v>
      </c>
      <c r="D1941">
        <v>12145.68</v>
      </c>
    </row>
    <row r="1942" spans="1:4" hidden="1" x14ac:dyDescent="0.25">
      <c r="A1942" t="s">
        <v>419</v>
      </c>
      <c r="B1942" t="s">
        <v>326</v>
      </c>
      <c r="C1942" s="2">
        <f>HYPERLINK("https://sao.dolgi.msk.ru/account/1404234481/", 1404234481)</f>
        <v>1404234481</v>
      </c>
      <c r="D1942">
        <v>-6366.13</v>
      </c>
    </row>
    <row r="1943" spans="1:4" x14ac:dyDescent="0.25">
      <c r="A1943" t="s">
        <v>419</v>
      </c>
      <c r="B1943" t="s">
        <v>327</v>
      </c>
      <c r="C1943" s="2">
        <f>HYPERLINK("https://sao.dolgi.msk.ru/account/1404231205/", 1404231205)</f>
        <v>1404231205</v>
      </c>
      <c r="D1943">
        <v>10810.52</v>
      </c>
    </row>
    <row r="1944" spans="1:4" hidden="1" x14ac:dyDescent="0.25">
      <c r="A1944" t="s">
        <v>419</v>
      </c>
      <c r="B1944" t="s">
        <v>328</v>
      </c>
      <c r="C1944" s="2">
        <f>HYPERLINK("https://sao.dolgi.msk.ru/account/1404231555/", 1404231555)</f>
        <v>1404231555</v>
      </c>
      <c r="D1944">
        <v>-8795.2900000000009</v>
      </c>
    </row>
    <row r="1945" spans="1:4" hidden="1" x14ac:dyDescent="0.25">
      <c r="A1945" t="s">
        <v>419</v>
      </c>
      <c r="B1945" t="s">
        <v>329</v>
      </c>
      <c r="C1945" s="2">
        <f>HYPERLINK("https://sao.dolgi.msk.ru/account/1404232064/", 1404232064)</f>
        <v>1404232064</v>
      </c>
      <c r="D1945">
        <v>-4384.55</v>
      </c>
    </row>
    <row r="1946" spans="1:4" hidden="1" x14ac:dyDescent="0.25">
      <c r="A1946" t="s">
        <v>419</v>
      </c>
      <c r="B1946" t="s">
        <v>330</v>
      </c>
      <c r="C1946" s="2">
        <f>HYPERLINK("https://sao.dolgi.msk.ru/account/1404231213/", 1404231213)</f>
        <v>1404231213</v>
      </c>
      <c r="D1946">
        <v>-5313.42</v>
      </c>
    </row>
    <row r="1947" spans="1:4" hidden="1" x14ac:dyDescent="0.25">
      <c r="A1947" t="s">
        <v>419</v>
      </c>
      <c r="B1947" t="s">
        <v>331</v>
      </c>
      <c r="C1947" s="2">
        <f>HYPERLINK("https://sao.dolgi.msk.ru/account/1404228356/", 1404228356)</f>
        <v>1404228356</v>
      </c>
      <c r="D1947">
        <v>-3002.78</v>
      </c>
    </row>
    <row r="1948" spans="1:4" hidden="1" x14ac:dyDescent="0.25">
      <c r="A1948" t="s">
        <v>419</v>
      </c>
      <c r="B1948" t="s">
        <v>331</v>
      </c>
      <c r="C1948" s="2">
        <f>HYPERLINK("https://sao.dolgi.msk.ru/account/1404232232/", 1404232232)</f>
        <v>1404232232</v>
      </c>
      <c r="D1948">
        <v>-3707.13</v>
      </c>
    </row>
    <row r="1949" spans="1:4" hidden="1" x14ac:dyDescent="0.25">
      <c r="A1949" t="s">
        <v>419</v>
      </c>
      <c r="B1949" t="s">
        <v>332</v>
      </c>
      <c r="C1949" s="2">
        <f>HYPERLINK("https://sao.dolgi.msk.ru/account/1404227759/", 1404227759)</f>
        <v>1404227759</v>
      </c>
      <c r="D1949">
        <v>-11843.99</v>
      </c>
    </row>
    <row r="1950" spans="1:4" hidden="1" x14ac:dyDescent="0.25">
      <c r="A1950" t="s">
        <v>419</v>
      </c>
      <c r="B1950" t="s">
        <v>333</v>
      </c>
      <c r="C1950" s="2">
        <f>HYPERLINK("https://sao.dolgi.msk.ru/account/1404231221/", 1404231221)</f>
        <v>1404231221</v>
      </c>
      <c r="D1950">
        <v>-4514.1000000000004</v>
      </c>
    </row>
    <row r="1951" spans="1:4" hidden="1" x14ac:dyDescent="0.25">
      <c r="A1951" t="s">
        <v>419</v>
      </c>
      <c r="B1951" t="s">
        <v>334</v>
      </c>
      <c r="C1951" s="2">
        <f>HYPERLINK("https://sao.dolgi.msk.ru/account/1404234254/", 1404234254)</f>
        <v>1404234254</v>
      </c>
      <c r="D1951">
        <v>0</v>
      </c>
    </row>
    <row r="1952" spans="1:4" hidden="1" x14ac:dyDescent="0.25">
      <c r="A1952" t="s">
        <v>419</v>
      </c>
      <c r="B1952" t="s">
        <v>335</v>
      </c>
      <c r="C1952" s="2">
        <f>HYPERLINK("https://sao.dolgi.msk.ru/account/1404227097/", 1404227097)</f>
        <v>1404227097</v>
      </c>
      <c r="D1952">
        <v>-7841.23</v>
      </c>
    </row>
    <row r="1953" spans="1:4" hidden="1" x14ac:dyDescent="0.25">
      <c r="A1953" t="s">
        <v>419</v>
      </c>
      <c r="B1953" t="s">
        <v>336</v>
      </c>
      <c r="C1953" s="2">
        <f>HYPERLINK("https://sao.dolgi.msk.ru/account/1404229826/", 1404229826)</f>
        <v>1404229826</v>
      </c>
      <c r="D1953">
        <v>0</v>
      </c>
    </row>
    <row r="1954" spans="1:4" hidden="1" x14ac:dyDescent="0.25">
      <c r="A1954" t="s">
        <v>419</v>
      </c>
      <c r="B1954" t="s">
        <v>337</v>
      </c>
      <c r="C1954" s="2">
        <f>HYPERLINK("https://sao.dolgi.msk.ru/account/1404230632/", 1404230632)</f>
        <v>1404230632</v>
      </c>
      <c r="D1954">
        <v>-2757.32</v>
      </c>
    </row>
    <row r="1955" spans="1:4" hidden="1" x14ac:dyDescent="0.25">
      <c r="A1955" t="s">
        <v>419</v>
      </c>
      <c r="B1955" t="s">
        <v>338</v>
      </c>
      <c r="C1955" s="2">
        <f>HYPERLINK("https://sao.dolgi.msk.ru/account/1404227767/", 1404227767)</f>
        <v>1404227767</v>
      </c>
      <c r="D1955">
        <v>-6420.94</v>
      </c>
    </row>
    <row r="1956" spans="1:4" hidden="1" x14ac:dyDescent="0.25">
      <c r="A1956" t="s">
        <v>419</v>
      </c>
      <c r="B1956" t="s">
        <v>339</v>
      </c>
      <c r="C1956" s="2">
        <f>HYPERLINK("https://sao.dolgi.msk.ru/account/1404229375/", 1404229375)</f>
        <v>1404229375</v>
      </c>
      <c r="D1956">
        <v>0</v>
      </c>
    </row>
    <row r="1957" spans="1:4" hidden="1" x14ac:dyDescent="0.25">
      <c r="A1957" t="s">
        <v>419</v>
      </c>
      <c r="B1957" t="s">
        <v>340</v>
      </c>
      <c r="C1957" s="2">
        <f>HYPERLINK("https://sao.dolgi.msk.ru/account/1404229324/", 1404229324)</f>
        <v>1404229324</v>
      </c>
      <c r="D1957">
        <v>-9238.4699999999993</v>
      </c>
    </row>
    <row r="1958" spans="1:4" x14ac:dyDescent="0.25">
      <c r="A1958" t="s">
        <v>419</v>
      </c>
      <c r="B1958" t="s">
        <v>341</v>
      </c>
      <c r="C1958" s="2">
        <f>HYPERLINK("https://sao.dolgi.msk.ru/account/1404230886/", 1404230886)</f>
        <v>1404230886</v>
      </c>
      <c r="D1958">
        <v>5942.92</v>
      </c>
    </row>
    <row r="1959" spans="1:4" hidden="1" x14ac:dyDescent="0.25">
      <c r="A1959" t="s">
        <v>419</v>
      </c>
      <c r="B1959" t="s">
        <v>342</v>
      </c>
      <c r="C1959" s="2">
        <f>HYPERLINK("https://sao.dolgi.msk.ru/account/1404233729/", 1404233729)</f>
        <v>1404233729</v>
      </c>
      <c r="D1959">
        <v>-7024.55</v>
      </c>
    </row>
    <row r="1960" spans="1:4" hidden="1" x14ac:dyDescent="0.25">
      <c r="A1960" t="s">
        <v>419</v>
      </c>
      <c r="B1960" t="s">
        <v>343</v>
      </c>
      <c r="C1960" s="2">
        <f>HYPERLINK("https://sao.dolgi.msk.ru/account/1404228903/", 1404228903)</f>
        <v>1404228903</v>
      </c>
      <c r="D1960">
        <v>-10643.1</v>
      </c>
    </row>
    <row r="1961" spans="1:4" hidden="1" x14ac:dyDescent="0.25">
      <c r="A1961" t="s">
        <v>419</v>
      </c>
      <c r="B1961" t="s">
        <v>344</v>
      </c>
      <c r="C1961" s="2">
        <f>HYPERLINK("https://sao.dolgi.msk.ru/account/1404227118/", 1404227118)</f>
        <v>1404227118</v>
      </c>
      <c r="D1961">
        <v>-8517.76</v>
      </c>
    </row>
    <row r="1962" spans="1:4" hidden="1" x14ac:dyDescent="0.25">
      <c r="A1962" t="s">
        <v>419</v>
      </c>
      <c r="B1962" t="s">
        <v>345</v>
      </c>
      <c r="C1962" s="2">
        <f>HYPERLINK("https://sao.dolgi.msk.ru/account/1404228911/", 1404228911)</f>
        <v>1404228911</v>
      </c>
      <c r="D1962">
        <v>-2465.4699999999998</v>
      </c>
    </row>
    <row r="1963" spans="1:4" hidden="1" x14ac:dyDescent="0.25">
      <c r="A1963" t="s">
        <v>419</v>
      </c>
      <c r="B1963" t="s">
        <v>346</v>
      </c>
      <c r="C1963" s="2">
        <f>HYPERLINK("https://sao.dolgi.msk.ru/account/1404227126/", 1404227126)</f>
        <v>1404227126</v>
      </c>
      <c r="D1963">
        <v>-4246.3</v>
      </c>
    </row>
    <row r="1964" spans="1:4" x14ac:dyDescent="0.25">
      <c r="A1964" t="s">
        <v>419</v>
      </c>
      <c r="B1964" t="s">
        <v>347</v>
      </c>
      <c r="C1964" s="2">
        <f>HYPERLINK("https://sao.dolgi.msk.ru/account/1404229834/", 1404229834)</f>
        <v>1404229834</v>
      </c>
      <c r="D1964">
        <v>101086.52</v>
      </c>
    </row>
    <row r="1965" spans="1:4" hidden="1" x14ac:dyDescent="0.25">
      <c r="A1965" t="s">
        <v>419</v>
      </c>
      <c r="B1965" t="s">
        <v>348</v>
      </c>
      <c r="C1965" s="2">
        <f>HYPERLINK("https://sao.dolgi.msk.ru/account/1404231715/", 1404231715)</f>
        <v>1404231715</v>
      </c>
      <c r="D1965">
        <v>0</v>
      </c>
    </row>
    <row r="1966" spans="1:4" hidden="1" x14ac:dyDescent="0.25">
      <c r="A1966" t="s">
        <v>419</v>
      </c>
      <c r="B1966" t="s">
        <v>349</v>
      </c>
      <c r="C1966" s="2">
        <f>HYPERLINK("https://sao.dolgi.msk.ru/account/1404228014/", 1404228014)</f>
        <v>1404228014</v>
      </c>
      <c r="D1966">
        <v>0</v>
      </c>
    </row>
    <row r="1967" spans="1:4" hidden="1" x14ac:dyDescent="0.25">
      <c r="A1967" t="s">
        <v>419</v>
      </c>
      <c r="B1967" t="s">
        <v>350</v>
      </c>
      <c r="C1967" s="2">
        <f>HYPERLINK("https://sao.dolgi.msk.ru/account/1404231539/", 1404231539)</f>
        <v>1404231539</v>
      </c>
      <c r="D1967">
        <v>-4843.24</v>
      </c>
    </row>
    <row r="1968" spans="1:4" hidden="1" x14ac:dyDescent="0.25">
      <c r="A1968" t="s">
        <v>419</v>
      </c>
      <c r="B1968" t="s">
        <v>351</v>
      </c>
      <c r="C1968" s="2">
        <f>HYPERLINK("https://sao.dolgi.msk.ru/account/1404230157/", 1404230157)</f>
        <v>1404230157</v>
      </c>
      <c r="D1968">
        <v>-7351.21</v>
      </c>
    </row>
    <row r="1969" spans="1:4" hidden="1" x14ac:dyDescent="0.25">
      <c r="A1969" t="s">
        <v>419</v>
      </c>
      <c r="B1969" t="s">
        <v>352</v>
      </c>
      <c r="C1969" s="2">
        <f>HYPERLINK("https://sao.dolgi.msk.ru/account/1404231002/", 1404231002)</f>
        <v>1404231002</v>
      </c>
      <c r="D1969">
        <v>-15307.02</v>
      </c>
    </row>
    <row r="1970" spans="1:4" hidden="1" x14ac:dyDescent="0.25">
      <c r="A1970" t="s">
        <v>419</v>
      </c>
      <c r="B1970" t="s">
        <v>353</v>
      </c>
      <c r="C1970" s="2">
        <f>HYPERLINK("https://sao.dolgi.msk.ru/account/1404232769/", 1404232769)</f>
        <v>1404232769</v>
      </c>
      <c r="D1970">
        <v>0</v>
      </c>
    </row>
    <row r="1971" spans="1:4" hidden="1" x14ac:dyDescent="0.25">
      <c r="A1971" t="s">
        <v>419</v>
      </c>
      <c r="B1971" t="s">
        <v>354</v>
      </c>
      <c r="C1971" s="2">
        <f>HYPERLINK("https://sao.dolgi.msk.ru/account/1404228348/", 1404228348)</f>
        <v>1404228348</v>
      </c>
      <c r="D1971">
        <v>-4891.42</v>
      </c>
    </row>
    <row r="1972" spans="1:4" hidden="1" x14ac:dyDescent="0.25">
      <c r="A1972" t="s">
        <v>419</v>
      </c>
      <c r="B1972" t="s">
        <v>355</v>
      </c>
      <c r="C1972" s="2">
        <f>HYPERLINK("https://sao.dolgi.msk.ru/account/1404231707/", 1404231707)</f>
        <v>1404231707</v>
      </c>
      <c r="D1972">
        <v>0</v>
      </c>
    </row>
    <row r="1973" spans="1:4" hidden="1" x14ac:dyDescent="0.25">
      <c r="A1973" t="s">
        <v>419</v>
      </c>
      <c r="B1973" t="s">
        <v>356</v>
      </c>
      <c r="C1973" s="2">
        <f>HYPERLINK("https://sao.dolgi.msk.ru/account/1404230341/", 1404230341)</f>
        <v>1404230341</v>
      </c>
      <c r="D1973">
        <v>0</v>
      </c>
    </row>
    <row r="1974" spans="1:4" hidden="1" x14ac:dyDescent="0.25">
      <c r="A1974" t="s">
        <v>419</v>
      </c>
      <c r="B1974" t="s">
        <v>357</v>
      </c>
      <c r="C1974" s="2">
        <f>HYPERLINK("https://sao.dolgi.msk.ru/account/1404234377/", 1404234377)</f>
        <v>1404234377</v>
      </c>
      <c r="D1974">
        <v>-4504.76</v>
      </c>
    </row>
    <row r="1975" spans="1:4" hidden="1" x14ac:dyDescent="0.25">
      <c r="A1975" t="s">
        <v>419</v>
      </c>
      <c r="B1975" t="s">
        <v>358</v>
      </c>
      <c r="C1975" s="2">
        <f>HYPERLINK("https://sao.dolgi.msk.ru/account/1404227337/", 1404227337)</f>
        <v>1404227337</v>
      </c>
      <c r="D1975">
        <v>-4898.8999999999996</v>
      </c>
    </row>
    <row r="1976" spans="1:4" x14ac:dyDescent="0.25">
      <c r="A1976" t="s">
        <v>419</v>
      </c>
      <c r="B1976" t="s">
        <v>359</v>
      </c>
      <c r="C1976" s="2">
        <f>HYPERLINK("https://sao.dolgi.msk.ru/account/1404230878/", 1404230878)</f>
        <v>1404230878</v>
      </c>
      <c r="D1976">
        <v>15891.19</v>
      </c>
    </row>
    <row r="1977" spans="1:4" x14ac:dyDescent="0.25">
      <c r="A1977" t="s">
        <v>419</v>
      </c>
      <c r="B1977" t="s">
        <v>360</v>
      </c>
      <c r="C1977" s="2">
        <f>HYPERLINK("https://sao.dolgi.msk.ru/account/1404233112/", 1404233112)</f>
        <v>1404233112</v>
      </c>
      <c r="D1977">
        <v>3539.02</v>
      </c>
    </row>
    <row r="1978" spans="1:4" hidden="1" x14ac:dyDescent="0.25">
      <c r="A1978" t="s">
        <v>419</v>
      </c>
      <c r="B1978" t="s">
        <v>361</v>
      </c>
      <c r="C1978" s="2">
        <f>HYPERLINK("https://sao.dolgi.msk.ru/account/1404232144/", 1404232144)</f>
        <v>1404232144</v>
      </c>
      <c r="D1978">
        <v>-3216.72</v>
      </c>
    </row>
    <row r="1979" spans="1:4" hidden="1" x14ac:dyDescent="0.25">
      <c r="A1979" t="s">
        <v>419</v>
      </c>
      <c r="B1979" t="s">
        <v>362</v>
      </c>
      <c r="C1979" s="2">
        <f>HYPERLINK("https://sao.dolgi.msk.ru/account/1404228508/", 1404228508)</f>
        <v>1404228508</v>
      </c>
      <c r="D1979">
        <v>-6602.74</v>
      </c>
    </row>
    <row r="1980" spans="1:4" hidden="1" x14ac:dyDescent="0.25">
      <c r="A1980" t="s">
        <v>419</v>
      </c>
      <c r="B1980" t="s">
        <v>363</v>
      </c>
      <c r="C1980" s="2">
        <f>HYPERLINK("https://sao.dolgi.msk.ru/account/1404228516/", 1404228516)</f>
        <v>1404228516</v>
      </c>
      <c r="D1980">
        <v>0</v>
      </c>
    </row>
    <row r="1981" spans="1:4" hidden="1" x14ac:dyDescent="0.25">
      <c r="A1981" t="s">
        <v>419</v>
      </c>
      <c r="B1981" t="s">
        <v>364</v>
      </c>
      <c r="C1981" s="2">
        <f>HYPERLINK("https://sao.dolgi.msk.ru/account/1404228524/", 1404228524)</f>
        <v>1404228524</v>
      </c>
      <c r="D1981">
        <v>-9921.7900000000009</v>
      </c>
    </row>
    <row r="1982" spans="1:4" x14ac:dyDescent="0.25">
      <c r="A1982" t="s">
        <v>419</v>
      </c>
      <c r="B1982" t="s">
        <v>365</v>
      </c>
      <c r="C1982" s="2">
        <f>HYPERLINK("https://sao.dolgi.msk.ru/account/1404232152/", 1404232152)</f>
        <v>1404232152</v>
      </c>
      <c r="D1982">
        <v>1829.76</v>
      </c>
    </row>
    <row r="1983" spans="1:4" hidden="1" x14ac:dyDescent="0.25">
      <c r="A1983" t="s">
        <v>419</v>
      </c>
      <c r="B1983" t="s">
        <v>366</v>
      </c>
      <c r="C1983" s="2">
        <f>HYPERLINK("https://sao.dolgi.msk.ru/account/1404232582/", 1404232582)</f>
        <v>1404232582</v>
      </c>
      <c r="D1983">
        <v>-5541.8</v>
      </c>
    </row>
    <row r="1984" spans="1:4" hidden="1" x14ac:dyDescent="0.25">
      <c r="A1984" t="s">
        <v>419</v>
      </c>
      <c r="B1984" t="s">
        <v>367</v>
      </c>
      <c r="C1984" s="2">
        <f>HYPERLINK("https://sao.dolgi.msk.ru/account/1404233219/", 1404233219)</f>
        <v>1404233219</v>
      </c>
      <c r="D1984">
        <v>-9900.9</v>
      </c>
    </row>
    <row r="1985" spans="1:4" hidden="1" x14ac:dyDescent="0.25">
      <c r="A1985" t="s">
        <v>419</v>
      </c>
      <c r="B1985" t="s">
        <v>368</v>
      </c>
      <c r="C1985" s="2">
        <f>HYPERLINK("https://sao.dolgi.msk.ru/account/1404234086/", 1404234086)</f>
        <v>1404234086</v>
      </c>
      <c r="D1985">
        <v>-9606.69</v>
      </c>
    </row>
    <row r="1986" spans="1:4" x14ac:dyDescent="0.25">
      <c r="A1986" t="s">
        <v>419</v>
      </c>
      <c r="B1986" t="s">
        <v>369</v>
      </c>
      <c r="C1986" s="2">
        <f>HYPERLINK("https://sao.dolgi.msk.ru/account/1404233227/", 1404233227)</f>
        <v>1404233227</v>
      </c>
      <c r="D1986">
        <v>9926.49</v>
      </c>
    </row>
    <row r="1987" spans="1:4" x14ac:dyDescent="0.25">
      <c r="A1987" t="s">
        <v>419</v>
      </c>
      <c r="B1987" t="s">
        <v>370</v>
      </c>
      <c r="C1987" s="2">
        <f>HYPERLINK("https://sao.dolgi.msk.ru/account/1404234385/", 1404234385)</f>
        <v>1404234385</v>
      </c>
      <c r="D1987">
        <v>44677.08</v>
      </c>
    </row>
    <row r="1988" spans="1:4" hidden="1" x14ac:dyDescent="0.25">
      <c r="A1988" t="s">
        <v>419</v>
      </c>
      <c r="B1988" t="s">
        <v>371</v>
      </c>
      <c r="C1988" s="2">
        <f>HYPERLINK("https://sao.dolgi.msk.ru/account/1404227652/", 1404227652)</f>
        <v>1404227652</v>
      </c>
      <c r="D1988">
        <v>0</v>
      </c>
    </row>
    <row r="1989" spans="1:4" hidden="1" x14ac:dyDescent="0.25">
      <c r="A1989" t="s">
        <v>419</v>
      </c>
      <c r="B1989" t="s">
        <v>372</v>
      </c>
      <c r="C1989" s="2">
        <f>HYPERLINK("https://sao.dolgi.msk.ru/account/1404227273/", 1404227273)</f>
        <v>1404227273</v>
      </c>
      <c r="D1989">
        <v>-6914.1</v>
      </c>
    </row>
    <row r="1990" spans="1:4" hidden="1" x14ac:dyDescent="0.25">
      <c r="A1990" t="s">
        <v>419</v>
      </c>
      <c r="B1990" t="s">
        <v>373</v>
      </c>
      <c r="C1990" s="2">
        <f>HYPERLINK("https://sao.dolgi.msk.ru/account/1404230771/", 1404230771)</f>
        <v>1404230771</v>
      </c>
      <c r="D1990">
        <v>-5000.24</v>
      </c>
    </row>
    <row r="1991" spans="1:4" x14ac:dyDescent="0.25">
      <c r="A1991" t="s">
        <v>419</v>
      </c>
      <c r="B1991" t="s">
        <v>374</v>
      </c>
      <c r="C1991" s="2">
        <f>HYPERLINK("https://sao.dolgi.msk.ru/account/1404227644/", 1404227644)</f>
        <v>1404227644</v>
      </c>
      <c r="D1991">
        <v>24187.64</v>
      </c>
    </row>
    <row r="1992" spans="1:4" hidden="1" x14ac:dyDescent="0.25">
      <c r="A1992" t="s">
        <v>419</v>
      </c>
      <c r="B1992" t="s">
        <v>375</v>
      </c>
      <c r="C1992" s="2">
        <f>HYPERLINK("https://sao.dolgi.msk.ru/account/1404228559/", 1404228559)</f>
        <v>1404228559</v>
      </c>
      <c r="D1992">
        <v>0</v>
      </c>
    </row>
    <row r="1993" spans="1:4" hidden="1" x14ac:dyDescent="0.25">
      <c r="A1993" t="s">
        <v>419</v>
      </c>
      <c r="B1993" t="s">
        <v>376</v>
      </c>
      <c r="C1993" s="2">
        <f>HYPERLINK("https://sao.dolgi.msk.ru/account/1404227142/", 1404227142)</f>
        <v>1404227142</v>
      </c>
      <c r="D1993">
        <v>-4791.62</v>
      </c>
    </row>
    <row r="1994" spans="1:4" hidden="1" x14ac:dyDescent="0.25">
      <c r="A1994" t="s">
        <v>419</v>
      </c>
      <c r="B1994" t="s">
        <v>377</v>
      </c>
      <c r="C1994" s="2">
        <f>HYPERLINK("https://sao.dolgi.msk.ru/account/1404227791/", 1404227791)</f>
        <v>1404227791</v>
      </c>
      <c r="D1994">
        <v>0</v>
      </c>
    </row>
    <row r="1995" spans="1:4" hidden="1" x14ac:dyDescent="0.25">
      <c r="A1995" t="s">
        <v>419</v>
      </c>
      <c r="B1995" t="s">
        <v>378</v>
      </c>
      <c r="C1995" s="2">
        <f>HYPERLINK("https://sao.dolgi.msk.ru/account/1404228305/", 1404228305)</f>
        <v>1404228305</v>
      </c>
      <c r="D1995">
        <v>-5726.94</v>
      </c>
    </row>
    <row r="1996" spans="1:4" hidden="1" x14ac:dyDescent="0.25">
      <c r="A1996" t="s">
        <v>419</v>
      </c>
      <c r="B1996" t="s">
        <v>379</v>
      </c>
      <c r="C1996" s="2">
        <f>HYPERLINK("https://sao.dolgi.msk.ru/account/1404229244/", 1404229244)</f>
        <v>1404229244</v>
      </c>
      <c r="D1996">
        <v>-6127.59</v>
      </c>
    </row>
    <row r="1997" spans="1:4" hidden="1" x14ac:dyDescent="0.25">
      <c r="A1997" t="s">
        <v>419</v>
      </c>
      <c r="B1997" t="s">
        <v>380</v>
      </c>
      <c r="C1997" s="2">
        <f>HYPERLINK("https://sao.dolgi.msk.ru/account/1404227169/", 1404227169)</f>
        <v>1404227169</v>
      </c>
      <c r="D1997">
        <v>0</v>
      </c>
    </row>
    <row r="1998" spans="1:4" hidden="1" x14ac:dyDescent="0.25">
      <c r="A1998" t="s">
        <v>419</v>
      </c>
      <c r="B1998" t="s">
        <v>381</v>
      </c>
      <c r="C1998" s="2">
        <f>HYPERLINK("https://sao.dolgi.msk.ru/account/1404229869/", 1404229869)</f>
        <v>1404229869</v>
      </c>
      <c r="D1998">
        <v>0</v>
      </c>
    </row>
    <row r="1999" spans="1:4" hidden="1" x14ac:dyDescent="0.25">
      <c r="A1999" t="s">
        <v>419</v>
      </c>
      <c r="B1999" t="s">
        <v>382</v>
      </c>
      <c r="C1999" s="2">
        <f>HYPERLINK("https://sao.dolgi.msk.ru/account/1404232558/", 1404232558)</f>
        <v>1404232558</v>
      </c>
      <c r="D1999">
        <v>0</v>
      </c>
    </row>
    <row r="2000" spans="1:4" hidden="1" x14ac:dyDescent="0.25">
      <c r="A2000" t="s">
        <v>419</v>
      </c>
      <c r="B2000" t="s">
        <v>383</v>
      </c>
      <c r="C2000" s="2">
        <f>HYPERLINK("https://sao.dolgi.msk.ru/account/1404233155/", 1404233155)</f>
        <v>1404233155</v>
      </c>
      <c r="D2000">
        <v>0</v>
      </c>
    </row>
    <row r="2001" spans="1:4" hidden="1" x14ac:dyDescent="0.25">
      <c r="A2001" t="s">
        <v>419</v>
      </c>
      <c r="B2001" t="s">
        <v>384</v>
      </c>
      <c r="C2001" s="2">
        <f>HYPERLINK("https://sao.dolgi.msk.ru/account/1404234297/", 1404234297)</f>
        <v>1404234297</v>
      </c>
      <c r="D2001">
        <v>-5162.12</v>
      </c>
    </row>
    <row r="2002" spans="1:4" hidden="1" x14ac:dyDescent="0.25">
      <c r="A2002" t="s">
        <v>419</v>
      </c>
      <c r="B2002" t="s">
        <v>385</v>
      </c>
      <c r="C2002" s="2">
        <f>HYPERLINK("https://sao.dolgi.msk.ru/account/1404230763/", 1404230763)</f>
        <v>1404230763</v>
      </c>
      <c r="D2002">
        <v>0</v>
      </c>
    </row>
    <row r="2003" spans="1:4" hidden="1" x14ac:dyDescent="0.25">
      <c r="A2003" t="s">
        <v>419</v>
      </c>
      <c r="B2003" t="s">
        <v>386</v>
      </c>
      <c r="C2003" s="2">
        <f>HYPERLINK("https://sao.dolgi.msk.ru/account/1404230798/", 1404230798)</f>
        <v>1404230798</v>
      </c>
      <c r="D2003">
        <v>0</v>
      </c>
    </row>
    <row r="2004" spans="1:4" hidden="1" x14ac:dyDescent="0.25">
      <c r="A2004" t="s">
        <v>419</v>
      </c>
      <c r="B2004" t="s">
        <v>387</v>
      </c>
      <c r="C2004" s="2">
        <f>HYPERLINK("https://sao.dolgi.msk.ru/account/1404233876/", 1404233876)</f>
        <v>1404233876</v>
      </c>
      <c r="D2004">
        <v>-4055.8</v>
      </c>
    </row>
    <row r="2005" spans="1:4" hidden="1" x14ac:dyDescent="0.25">
      <c r="A2005" t="s">
        <v>419</v>
      </c>
      <c r="B2005" t="s">
        <v>388</v>
      </c>
      <c r="C2005" s="2">
        <f>HYPERLINK("https://sao.dolgi.msk.ru/account/1404233163/", 1404233163)</f>
        <v>1404233163</v>
      </c>
      <c r="D2005">
        <v>-4144.57</v>
      </c>
    </row>
    <row r="2006" spans="1:4" hidden="1" x14ac:dyDescent="0.25">
      <c r="A2006" t="s">
        <v>419</v>
      </c>
      <c r="B2006" t="s">
        <v>389</v>
      </c>
      <c r="C2006" s="2">
        <f>HYPERLINK("https://sao.dolgi.msk.ru/account/1404232101/", 1404232101)</f>
        <v>1404232101</v>
      </c>
      <c r="D2006">
        <v>0</v>
      </c>
    </row>
    <row r="2007" spans="1:4" x14ac:dyDescent="0.25">
      <c r="A2007" t="s">
        <v>419</v>
      </c>
      <c r="B2007" t="s">
        <v>390</v>
      </c>
      <c r="C2007" s="2">
        <f>HYPERLINK("https://sao.dolgi.msk.ru/account/1404228444/", 1404228444)</f>
        <v>1404228444</v>
      </c>
      <c r="D2007">
        <v>13874.17</v>
      </c>
    </row>
    <row r="2008" spans="1:4" x14ac:dyDescent="0.25">
      <c r="A2008" t="s">
        <v>419</v>
      </c>
      <c r="B2008" t="s">
        <v>391</v>
      </c>
      <c r="C2008" s="2">
        <f>HYPERLINK("https://sao.dolgi.msk.ru/account/1404227572/", 1404227572)</f>
        <v>1404227572</v>
      </c>
      <c r="D2008">
        <v>4841.5200000000004</v>
      </c>
    </row>
    <row r="2009" spans="1:4" x14ac:dyDescent="0.25">
      <c r="A2009" t="s">
        <v>419</v>
      </c>
      <c r="B2009" t="s">
        <v>392</v>
      </c>
      <c r="C2009" s="2">
        <f>HYPERLINK("https://sao.dolgi.msk.ru/account/1404228049/", 1404228049)</f>
        <v>1404228049</v>
      </c>
      <c r="D2009">
        <v>41394.22</v>
      </c>
    </row>
    <row r="2010" spans="1:4" hidden="1" x14ac:dyDescent="0.25">
      <c r="A2010" t="s">
        <v>419</v>
      </c>
      <c r="B2010" t="s">
        <v>393</v>
      </c>
      <c r="C2010" s="2">
        <f>HYPERLINK("https://sao.dolgi.msk.ru/account/1404228954/", 1404228954)</f>
        <v>1404228954</v>
      </c>
      <c r="D2010">
        <v>-7978.25</v>
      </c>
    </row>
    <row r="2011" spans="1:4" hidden="1" x14ac:dyDescent="0.25">
      <c r="A2011" t="s">
        <v>419</v>
      </c>
      <c r="B2011" t="s">
        <v>394</v>
      </c>
      <c r="C2011" s="2">
        <f>HYPERLINK("https://sao.dolgi.msk.ru/account/1404231571/", 1404231571)</f>
        <v>1404231571</v>
      </c>
      <c r="D2011">
        <v>-8035.71</v>
      </c>
    </row>
    <row r="2012" spans="1:4" hidden="1" x14ac:dyDescent="0.25">
      <c r="A2012" t="s">
        <v>419</v>
      </c>
      <c r="B2012" t="s">
        <v>395</v>
      </c>
      <c r="C2012" s="2">
        <f>HYPERLINK("https://sao.dolgi.msk.ru/account/1404228962/", 1404228962)</f>
        <v>1404228962</v>
      </c>
      <c r="D2012">
        <v>0</v>
      </c>
    </row>
    <row r="2013" spans="1:4" hidden="1" x14ac:dyDescent="0.25">
      <c r="A2013" t="s">
        <v>419</v>
      </c>
      <c r="B2013" t="s">
        <v>396</v>
      </c>
      <c r="C2013" s="2">
        <f>HYPERLINK("https://sao.dolgi.msk.ru/account/1404228057/", 1404228057)</f>
        <v>1404228057</v>
      </c>
      <c r="D2013">
        <v>-7601.81</v>
      </c>
    </row>
    <row r="2014" spans="1:4" x14ac:dyDescent="0.25">
      <c r="A2014" t="s">
        <v>419</v>
      </c>
      <c r="B2014" t="s">
        <v>397</v>
      </c>
      <c r="C2014" s="2">
        <f>HYPERLINK("https://sao.dolgi.msk.ru/account/1404230261/", 1404230261)</f>
        <v>1404230261</v>
      </c>
      <c r="D2014">
        <v>13274.64</v>
      </c>
    </row>
    <row r="2015" spans="1:4" x14ac:dyDescent="0.25">
      <c r="A2015" t="s">
        <v>419</v>
      </c>
      <c r="B2015" t="s">
        <v>398</v>
      </c>
      <c r="C2015" s="2">
        <f>HYPERLINK("https://sao.dolgi.msk.ru/account/1404230288/", 1404230288)</f>
        <v>1404230288</v>
      </c>
      <c r="D2015">
        <v>10760.71</v>
      </c>
    </row>
    <row r="2016" spans="1:4" hidden="1" x14ac:dyDescent="0.25">
      <c r="A2016" t="s">
        <v>419</v>
      </c>
      <c r="B2016" t="s">
        <v>399</v>
      </c>
      <c r="C2016" s="2">
        <f>HYPERLINK("https://sao.dolgi.msk.ru/account/1404234318/", 1404234318)</f>
        <v>1404234318</v>
      </c>
      <c r="D2016">
        <v>0</v>
      </c>
    </row>
    <row r="2017" spans="1:4" hidden="1" x14ac:dyDescent="0.25">
      <c r="A2017" t="s">
        <v>419</v>
      </c>
      <c r="B2017" t="s">
        <v>400</v>
      </c>
      <c r="C2017" s="2">
        <f>HYPERLINK("https://sao.dolgi.msk.ru/account/1404227564/", 1404227564)</f>
        <v>1404227564</v>
      </c>
      <c r="D2017">
        <v>0</v>
      </c>
    </row>
    <row r="2018" spans="1:4" hidden="1" x14ac:dyDescent="0.25">
      <c r="A2018" t="s">
        <v>419</v>
      </c>
      <c r="B2018" t="s">
        <v>401</v>
      </c>
      <c r="C2018" s="2">
        <f>HYPERLINK("https://sao.dolgi.msk.ru/account/1404230296/", 1404230296)</f>
        <v>1404230296</v>
      </c>
      <c r="D2018">
        <v>0</v>
      </c>
    </row>
    <row r="2019" spans="1:4" x14ac:dyDescent="0.25">
      <c r="A2019" t="s">
        <v>419</v>
      </c>
      <c r="B2019" t="s">
        <v>402</v>
      </c>
      <c r="C2019" s="2">
        <f>HYPERLINK("https://sao.dolgi.msk.ru/account/1404232128/", 1404232128)</f>
        <v>1404232128</v>
      </c>
      <c r="D2019">
        <v>1661.02</v>
      </c>
    </row>
    <row r="2020" spans="1:4" hidden="1" x14ac:dyDescent="0.25">
      <c r="A2020" t="s">
        <v>419</v>
      </c>
      <c r="B2020" t="s">
        <v>403</v>
      </c>
      <c r="C2020" s="2">
        <f>HYPERLINK("https://sao.dolgi.msk.ru/account/1404233198/", 1404233198)</f>
        <v>1404233198</v>
      </c>
      <c r="D2020">
        <v>0</v>
      </c>
    </row>
    <row r="2021" spans="1:4" hidden="1" x14ac:dyDescent="0.25">
      <c r="A2021" t="s">
        <v>419</v>
      </c>
      <c r="B2021" t="s">
        <v>404</v>
      </c>
      <c r="C2021" s="2">
        <f>HYPERLINK("https://sao.dolgi.msk.ru/account/1404234326/", 1404234326)</f>
        <v>1404234326</v>
      </c>
      <c r="D2021">
        <v>0</v>
      </c>
    </row>
    <row r="2022" spans="1:4" hidden="1" x14ac:dyDescent="0.25">
      <c r="A2022" t="s">
        <v>419</v>
      </c>
      <c r="B2022" t="s">
        <v>405</v>
      </c>
      <c r="C2022" s="2">
        <f>HYPERLINK("https://sao.dolgi.msk.ru/account/1404229957/", 1404229957)</f>
        <v>1404229957</v>
      </c>
      <c r="D2022">
        <v>-2081.0100000000002</v>
      </c>
    </row>
    <row r="2023" spans="1:4" hidden="1" x14ac:dyDescent="0.25">
      <c r="A2023" t="s">
        <v>419</v>
      </c>
      <c r="B2023" t="s">
        <v>405</v>
      </c>
      <c r="C2023" s="2">
        <f>HYPERLINK("https://sao.dolgi.msk.ru/account/1404231512/", 1404231512)</f>
        <v>1404231512</v>
      </c>
      <c r="D2023">
        <v>-2957.5</v>
      </c>
    </row>
    <row r="2024" spans="1:4" hidden="1" x14ac:dyDescent="0.25">
      <c r="A2024" t="s">
        <v>419</v>
      </c>
      <c r="B2024" t="s">
        <v>406</v>
      </c>
      <c r="C2024" s="2">
        <f>HYPERLINK("https://sao.dolgi.msk.ru/account/1404226983/", 1404226983)</f>
        <v>1404226983</v>
      </c>
      <c r="D2024">
        <v>0</v>
      </c>
    </row>
    <row r="2025" spans="1:4" hidden="1" x14ac:dyDescent="0.25">
      <c r="A2025" t="s">
        <v>419</v>
      </c>
      <c r="B2025" t="s">
        <v>406</v>
      </c>
      <c r="C2025" s="2">
        <f>HYPERLINK("https://sao.dolgi.msk.ru/account/1404231547/", 1404231547)</f>
        <v>1404231547</v>
      </c>
      <c r="D2025">
        <v>-3645.31</v>
      </c>
    </row>
    <row r="2026" spans="1:4" hidden="1" x14ac:dyDescent="0.25">
      <c r="A2026" t="s">
        <v>419</v>
      </c>
      <c r="B2026" t="s">
        <v>407</v>
      </c>
      <c r="C2026" s="2">
        <f>HYPERLINK("https://sao.dolgi.msk.ru/account/1404228401/", 1404228401)</f>
        <v>1404228401</v>
      </c>
      <c r="D2026">
        <v>-2419.9499999999998</v>
      </c>
    </row>
    <row r="2027" spans="1:4" hidden="1" x14ac:dyDescent="0.25">
      <c r="A2027" t="s">
        <v>419</v>
      </c>
      <c r="B2027" t="s">
        <v>408</v>
      </c>
      <c r="C2027" s="2">
        <f>HYPERLINK("https://sao.dolgi.msk.ru/account/1404231918/", 1404231918)</f>
        <v>1404231918</v>
      </c>
      <c r="D2027">
        <v>0</v>
      </c>
    </row>
    <row r="2028" spans="1:4" x14ac:dyDescent="0.25">
      <c r="A2028" t="s">
        <v>419</v>
      </c>
      <c r="B2028" t="s">
        <v>409</v>
      </c>
      <c r="C2028" s="2">
        <f>HYPERLINK("https://sao.dolgi.msk.ru/account/1404228495/", 1404228495)</f>
        <v>1404228495</v>
      </c>
      <c r="D2028">
        <v>24818.21</v>
      </c>
    </row>
    <row r="2029" spans="1:4" x14ac:dyDescent="0.25">
      <c r="A2029" t="s">
        <v>419</v>
      </c>
      <c r="B2029" t="s">
        <v>410</v>
      </c>
      <c r="C2029" s="2">
        <f>HYPERLINK("https://sao.dolgi.msk.ru/account/1404230587/", 1404230587)</f>
        <v>1404230587</v>
      </c>
      <c r="D2029">
        <v>3425.79</v>
      </c>
    </row>
    <row r="2030" spans="1:4" hidden="1" x14ac:dyDescent="0.25">
      <c r="A2030" t="s">
        <v>419</v>
      </c>
      <c r="B2030" t="s">
        <v>411</v>
      </c>
      <c r="C2030" s="2">
        <f>HYPERLINK("https://sao.dolgi.msk.ru/account/1404229711/", 1404229711)</f>
        <v>1404229711</v>
      </c>
      <c r="D2030">
        <v>0</v>
      </c>
    </row>
    <row r="2031" spans="1:4" hidden="1" x14ac:dyDescent="0.25">
      <c r="A2031" t="s">
        <v>419</v>
      </c>
      <c r="B2031" t="s">
        <v>429</v>
      </c>
      <c r="C2031" s="2">
        <f>HYPERLINK("https://sao.dolgi.msk.ru/account/1404232005/", 1404232005)</f>
        <v>1404232005</v>
      </c>
      <c r="D2031">
        <v>-2941.33</v>
      </c>
    </row>
    <row r="2032" spans="1:4" x14ac:dyDescent="0.25">
      <c r="A2032" t="s">
        <v>419</v>
      </c>
      <c r="B2032" t="s">
        <v>430</v>
      </c>
      <c r="C2032" s="2">
        <f>HYPERLINK("https://sao.dolgi.msk.ru/account/1404229578/", 1404229578)</f>
        <v>1404229578</v>
      </c>
      <c r="D2032">
        <v>7347.4</v>
      </c>
    </row>
    <row r="2033" spans="1:4" x14ac:dyDescent="0.25">
      <c r="A2033" t="s">
        <v>419</v>
      </c>
      <c r="B2033" t="s">
        <v>431</v>
      </c>
      <c r="C2033" s="2">
        <f>HYPERLINK("https://sao.dolgi.msk.ru/account/1404228938/", 1404228938)</f>
        <v>1404228938</v>
      </c>
      <c r="D2033">
        <v>6665.49</v>
      </c>
    </row>
    <row r="2034" spans="1:4" x14ac:dyDescent="0.25">
      <c r="A2034" t="s">
        <v>419</v>
      </c>
      <c r="B2034" t="s">
        <v>432</v>
      </c>
      <c r="C2034" s="2">
        <f>HYPERLINK("https://sao.dolgi.msk.ru/account/1404232427/", 1404232427)</f>
        <v>1404232427</v>
      </c>
      <c r="D2034">
        <v>19135.77</v>
      </c>
    </row>
    <row r="2035" spans="1:4" hidden="1" x14ac:dyDescent="0.25">
      <c r="A2035" t="s">
        <v>419</v>
      </c>
      <c r="B2035" t="s">
        <v>433</v>
      </c>
      <c r="C2035" s="2">
        <f>HYPERLINK("https://sao.dolgi.msk.ru/account/1404232873/", 1404232873)</f>
        <v>1404232873</v>
      </c>
      <c r="D2035">
        <v>-10273.66</v>
      </c>
    </row>
    <row r="2036" spans="1:4" hidden="1" x14ac:dyDescent="0.25">
      <c r="A2036" t="s">
        <v>419</v>
      </c>
      <c r="B2036" t="s">
        <v>434</v>
      </c>
      <c r="C2036" s="2">
        <f>HYPERLINK("https://sao.dolgi.msk.ru/account/1404231416/", 1404231416)</f>
        <v>1404231416</v>
      </c>
      <c r="D2036">
        <v>-5836.01</v>
      </c>
    </row>
    <row r="2037" spans="1:4" hidden="1" x14ac:dyDescent="0.25">
      <c r="A2037" t="s">
        <v>419</v>
      </c>
      <c r="B2037" t="s">
        <v>435</v>
      </c>
      <c r="C2037" s="2">
        <f>HYPERLINK("https://sao.dolgi.msk.ru/account/1404227628/", 1404227628)</f>
        <v>1404227628</v>
      </c>
      <c r="D2037">
        <v>0</v>
      </c>
    </row>
    <row r="2038" spans="1:4" x14ac:dyDescent="0.25">
      <c r="A2038" t="s">
        <v>419</v>
      </c>
      <c r="B2038" t="s">
        <v>436</v>
      </c>
      <c r="C2038" s="2">
        <f>HYPERLINK("https://sao.dolgi.msk.ru/account/1404227601/", 1404227601)</f>
        <v>1404227601</v>
      </c>
      <c r="D2038">
        <v>5103.53</v>
      </c>
    </row>
    <row r="2039" spans="1:4" hidden="1" x14ac:dyDescent="0.25">
      <c r="A2039" t="s">
        <v>419</v>
      </c>
      <c r="B2039" t="s">
        <v>437</v>
      </c>
      <c r="C2039" s="2">
        <f>HYPERLINK("https://sao.dolgi.msk.ru/account/1404230659/", 1404230659)</f>
        <v>1404230659</v>
      </c>
      <c r="D2039">
        <v>-5227.63</v>
      </c>
    </row>
    <row r="2040" spans="1:4" x14ac:dyDescent="0.25">
      <c r="A2040" t="s">
        <v>419</v>
      </c>
      <c r="B2040" t="s">
        <v>438</v>
      </c>
      <c r="C2040" s="2">
        <f>HYPERLINK("https://sao.dolgi.msk.ru/account/1404232486/", 1404232486)</f>
        <v>1404232486</v>
      </c>
      <c r="D2040">
        <v>23339.65</v>
      </c>
    </row>
    <row r="2041" spans="1:4" x14ac:dyDescent="0.25">
      <c r="A2041" t="s">
        <v>419</v>
      </c>
      <c r="B2041" t="s">
        <v>439</v>
      </c>
      <c r="C2041" s="2">
        <f>HYPERLINK("https://sao.dolgi.msk.ru/account/1404231029/", 1404231029)</f>
        <v>1404231029</v>
      </c>
      <c r="D2041">
        <v>6404.6</v>
      </c>
    </row>
    <row r="2042" spans="1:4" hidden="1" x14ac:dyDescent="0.25">
      <c r="A2042" t="s">
        <v>419</v>
      </c>
      <c r="B2042" t="s">
        <v>440</v>
      </c>
      <c r="C2042" s="2">
        <f>HYPERLINK("https://sao.dolgi.msk.ru/account/1404232689/", 1404232689)</f>
        <v>1404232689</v>
      </c>
      <c r="D2042">
        <v>0</v>
      </c>
    </row>
    <row r="2043" spans="1:4" hidden="1" x14ac:dyDescent="0.25">
      <c r="A2043" t="s">
        <v>419</v>
      </c>
      <c r="B2043" t="s">
        <v>441</v>
      </c>
      <c r="C2043" s="2">
        <f>HYPERLINK("https://sao.dolgi.msk.ru/account/1404232865/", 1404232865)</f>
        <v>1404232865</v>
      </c>
      <c r="D2043">
        <v>0</v>
      </c>
    </row>
    <row r="2044" spans="1:4" hidden="1" x14ac:dyDescent="0.25">
      <c r="A2044" t="s">
        <v>419</v>
      </c>
      <c r="B2044" t="s">
        <v>442</v>
      </c>
      <c r="C2044" s="2">
        <f>HYPERLINK("https://sao.dolgi.msk.ru/account/1404229367/", 1404229367)</f>
        <v>1404229367</v>
      </c>
      <c r="D2044">
        <v>-3553.22</v>
      </c>
    </row>
    <row r="2045" spans="1:4" hidden="1" x14ac:dyDescent="0.25">
      <c r="A2045" t="s">
        <v>419</v>
      </c>
      <c r="B2045" t="s">
        <v>443</v>
      </c>
      <c r="C2045" s="2">
        <f>HYPERLINK("https://sao.dolgi.msk.ru/account/1404228794/", 1404228794)</f>
        <v>1404228794</v>
      </c>
      <c r="D2045">
        <v>0</v>
      </c>
    </row>
    <row r="2046" spans="1:4" hidden="1" x14ac:dyDescent="0.25">
      <c r="A2046" t="s">
        <v>419</v>
      </c>
      <c r="B2046" t="s">
        <v>444</v>
      </c>
      <c r="C2046" s="2">
        <f>HYPERLINK("https://sao.dolgi.msk.ru/account/1404232945/", 1404232945)</f>
        <v>1404232945</v>
      </c>
      <c r="D2046">
        <v>-4045.31</v>
      </c>
    </row>
    <row r="2047" spans="1:4" x14ac:dyDescent="0.25">
      <c r="A2047" t="s">
        <v>419</v>
      </c>
      <c r="B2047" t="s">
        <v>445</v>
      </c>
      <c r="C2047" s="2">
        <f>HYPERLINK("https://sao.dolgi.msk.ru/account/1404233585/", 1404233585)</f>
        <v>1404233585</v>
      </c>
      <c r="D2047">
        <v>23501.360000000001</v>
      </c>
    </row>
    <row r="2048" spans="1:4" x14ac:dyDescent="0.25">
      <c r="A2048" t="s">
        <v>419</v>
      </c>
      <c r="B2048" t="s">
        <v>446</v>
      </c>
      <c r="C2048" s="2">
        <f>HYPERLINK("https://sao.dolgi.msk.ru/account/1404231424/", 1404231424)</f>
        <v>1404231424</v>
      </c>
      <c r="D2048">
        <v>1464.67</v>
      </c>
    </row>
    <row r="2049" spans="1:4" hidden="1" x14ac:dyDescent="0.25">
      <c r="A2049" t="s">
        <v>419</v>
      </c>
      <c r="B2049" t="s">
        <v>447</v>
      </c>
      <c r="C2049" s="2">
        <f>HYPERLINK("https://sao.dolgi.msk.ru/account/1404229682/", 1404229682)</f>
        <v>1404229682</v>
      </c>
      <c r="D2049">
        <v>0</v>
      </c>
    </row>
    <row r="2050" spans="1:4" hidden="1" x14ac:dyDescent="0.25">
      <c r="A2050" t="s">
        <v>419</v>
      </c>
      <c r="B2050" t="s">
        <v>448</v>
      </c>
      <c r="C2050" s="2">
        <f>HYPERLINK("https://sao.dolgi.msk.ru/account/1404233171/", 1404233171)</f>
        <v>1404233171</v>
      </c>
      <c r="D2050">
        <v>0</v>
      </c>
    </row>
    <row r="2051" spans="1:4" hidden="1" x14ac:dyDescent="0.25">
      <c r="A2051" t="s">
        <v>419</v>
      </c>
      <c r="B2051" t="s">
        <v>449</v>
      </c>
      <c r="C2051" s="2">
        <f>HYPERLINK("https://sao.dolgi.msk.ru/account/1404233905/", 1404233905)</f>
        <v>1404233905</v>
      </c>
      <c r="D2051">
        <v>-6131.65</v>
      </c>
    </row>
    <row r="2052" spans="1:4" x14ac:dyDescent="0.25">
      <c r="A2052" t="s">
        <v>419</v>
      </c>
      <c r="B2052" t="s">
        <v>450</v>
      </c>
      <c r="C2052" s="2">
        <f>HYPERLINK("https://sao.dolgi.msk.ru/account/1404230085/", 1404230085)</f>
        <v>1404230085</v>
      </c>
      <c r="D2052">
        <v>37095.32</v>
      </c>
    </row>
    <row r="2053" spans="1:4" hidden="1" x14ac:dyDescent="0.25">
      <c r="A2053" t="s">
        <v>419</v>
      </c>
      <c r="B2053" t="s">
        <v>451</v>
      </c>
      <c r="C2053" s="2">
        <f>HYPERLINK("https://sao.dolgi.msk.ru/account/1404228567/", 1404228567)</f>
        <v>1404228567</v>
      </c>
      <c r="D2053">
        <v>-6211.03</v>
      </c>
    </row>
    <row r="2054" spans="1:4" hidden="1" x14ac:dyDescent="0.25">
      <c r="A2054" t="s">
        <v>419</v>
      </c>
      <c r="B2054" t="s">
        <v>452</v>
      </c>
      <c r="C2054" s="2">
        <f>HYPERLINK("https://sao.dolgi.msk.ru/account/1404233235/", 1404233235)</f>
        <v>1404233235</v>
      </c>
      <c r="D2054">
        <v>-8582.18</v>
      </c>
    </row>
    <row r="2055" spans="1:4" x14ac:dyDescent="0.25">
      <c r="A2055" t="s">
        <v>419</v>
      </c>
      <c r="B2055" t="s">
        <v>453</v>
      </c>
      <c r="C2055" s="2">
        <f>HYPERLINK("https://sao.dolgi.msk.ru/account/1404232961/", 1404232961)</f>
        <v>1404232961</v>
      </c>
      <c r="D2055">
        <v>16523</v>
      </c>
    </row>
    <row r="2056" spans="1:4" hidden="1" x14ac:dyDescent="0.25">
      <c r="A2056" t="s">
        <v>419</v>
      </c>
      <c r="B2056" t="s">
        <v>454</v>
      </c>
      <c r="C2056" s="2">
        <f>HYPERLINK("https://sao.dolgi.msk.ru/account/1404234289/", 1404234289)</f>
        <v>1404234289</v>
      </c>
      <c r="D2056">
        <v>0</v>
      </c>
    </row>
    <row r="2057" spans="1:4" x14ac:dyDescent="0.25">
      <c r="A2057" t="s">
        <v>419</v>
      </c>
      <c r="B2057" t="s">
        <v>455</v>
      </c>
      <c r="C2057" s="2">
        <f>HYPERLINK("https://sao.dolgi.msk.ru/account/1404233139/", 1404233139)</f>
        <v>1404233139</v>
      </c>
      <c r="D2057">
        <v>1982.44</v>
      </c>
    </row>
    <row r="2058" spans="1:4" hidden="1" x14ac:dyDescent="0.25">
      <c r="A2058" t="s">
        <v>419</v>
      </c>
      <c r="B2058" t="s">
        <v>456</v>
      </c>
      <c r="C2058" s="2">
        <f>HYPERLINK("https://sao.dolgi.msk.ru/account/1404231598/", 1404231598)</f>
        <v>1404231598</v>
      </c>
      <c r="D2058">
        <v>0</v>
      </c>
    </row>
    <row r="2059" spans="1:4" hidden="1" x14ac:dyDescent="0.25">
      <c r="A2059" t="s">
        <v>419</v>
      </c>
      <c r="B2059" t="s">
        <v>456</v>
      </c>
      <c r="C2059" s="2">
        <f>HYPERLINK("https://sao.dolgi.msk.ru/account/1404234406/", 1404234406)</f>
        <v>1404234406</v>
      </c>
      <c r="D2059">
        <v>0</v>
      </c>
    </row>
    <row r="2060" spans="1:4" hidden="1" x14ac:dyDescent="0.25">
      <c r="A2060" t="s">
        <v>419</v>
      </c>
      <c r="B2060" t="s">
        <v>457</v>
      </c>
      <c r="C2060" s="2">
        <f>HYPERLINK("https://sao.dolgi.msk.ru/account/1404227978/", 1404227978)</f>
        <v>1404227978</v>
      </c>
      <c r="D2060">
        <v>-7700.54</v>
      </c>
    </row>
    <row r="2061" spans="1:4" hidden="1" x14ac:dyDescent="0.25">
      <c r="A2061" t="s">
        <v>419</v>
      </c>
      <c r="B2061" t="s">
        <v>458</v>
      </c>
      <c r="C2061" s="2">
        <f>HYPERLINK("https://sao.dolgi.msk.ru/account/1404231125/", 1404231125)</f>
        <v>1404231125</v>
      </c>
      <c r="D2061">
        <v>0</v>
      </c>
    </row>
    <row r="2062" spans="1:4" hidden="1" x14ac:dyDescent="0.25">
      <c r="A2062" t="s">
        <v>419</v>
      </c>
      <c r="B2062" t="s">
        <v>459</v>
      </c>
      <c r="C2062" s="2">
        <f>HYPERLINK("https://sao.dolgi.msk.ru/account/1404230392/", 1404230392)</f>
        <v>1404230392</v>
      </c>
      <c r="D2062">
        <v>-2740.45</v>
      </c>
    </row>
    <row r="2063" spans="1:4" hidden="1" x14ac:dyDescent="0.25">
      <c r="A2063" t="s">
        <v>419</v>
      </c>
      <c r="B2063" t="s">
        <v>460</v>
      </c>
      <c r="C2063" s="2">
        <f>HYPERLINK("https://sao.dolgi.msk.ru/account/1404227943/", 1404227943)</f>
        <v>1404227943</v>
      </c>
      <c r="D2063">
        <v>-8967.98</v>
      </c>
    </row>
    <row r="2064" spans="1:4" hidden="1" x14ac:dyDescent="0.25">
      <c r="A2064" t="s">
        <v>419</v>
      </c>
      <c r="B2064" t="s">
        <v>461</v>
      </c>
      <c r="C2064" s="2">
        <f>HYPERLINK("https://sao.dolgi.msk.ru/account/1404228807/", 1404228807)</f>
        <v>1404228807</v>
      </c>
      <c r="D2064">
        <v>-4850.72</v>
      </c>
    </row>
    <row r="2065" spans="1:4" hidden="1" x14ac:dyDescent="0.25">
      <c r="A2065" t="s">
        <v>419</v>
      </c>
      <c r="B2065" t="s">
        <v>462</v>
      </c>
      <c r="C2065" s="2">
        <f>HYPERLINK("https://sao.dolgi.msk.ru/account/1404231467/", 1404231467)</f>
        <v>1404231467</v>
      </c>
      <c r="D2065">
        <v>-5333.24</v>
      </c>
    </row>
    <row r="2066" spans="1:4" hidden="1" x14ac:dyDescent="0.25">
      <c r="A2066" t="s">
        <v>419</v>
      </c>
      <c r="B2066" t="s">
        <v>463</v>
      </c>
      <c r="C2066" s="2">
        <f>HYPERLINK("https://sao.dolgi.msk.ru/account/1404233286/", 1404233286)</f>
        <v>1404233286</v>
      </c>
      <c r="D2066">
        <v>0</v>
      </c>
    </row>
    <row r="2067" spans="1:4" hidden="1" x14ac:dyDescent="0.25">
      <c r="A2067" t="s">
        <v>419</v>
      </c>
      <c r="B2067" t="s">
        <v>464</v>
      </c>
      <c r="C2067" s="2">
        <f>HYPERLINK("https://sao.dolgi.msk.ru/account/1404228655/", 1404228655)</f>
        <v>1404228655</v>
      </c>
      <c r="D2067">
        <v>0</v>
      </c>
    </row>
    <row r="2068" spans="1:4" hidden="1" x14ac:dyDescent="0.25">
      <c r="A2068" t="s">
        <v>419</v>
      </c>
      <c r="B2068" t="s">
        <v>465</v>
      </c>
      <c r="C2068" s="2">
        <f>HYPERLINK("https://sao.dolgi.msk.ru/account/1404231037/", 1404231037)</f>
        <v>1404231037</v>
      </c>
      <c r="D2068">
        <v>0</v>
      </c>
    </row>
    <row r="2069" spans="1:4" x14ac:dyDescent="0.25">
      <c r="A2069" t="s">
        <v>419</v>
      </c>
      <c r="B2069" t="s">
        <v>466</v>
      </c>
      <c r="C2069" s="2">
        <f>HYPERLINK("https://sao.dolgi.msk.ru/account/1404234094/", 1404234094)</f>
        <v>1404234094</v>
      </c>
      <c r="D2069">
        <v>7077.16</v>
      </c>
    </row>
    <row r="2070" spans="1:4" hidden="1" x14ac:dyDescent="0.25">
      <c r="A2070" t="s">
        <v>419</v>
      </c>
      <c r="B2070" t="s">
        <v>467</v>
      </c>
      <c r="C2070" s="2">
        <f>HYPERLINK("https://sao.dolgi.msk.ru/account/1404232363/", 1404232363)</f>
        <v>1404232363</v>
      </c>
      <c r="D2070">
        <v>0</v>
      </c>
    </row>
    <row r="2071" spans="1:4" hidden="1" x14ac:dyDescent="0.25">
      <c r="A2071" t="s">
        <v>419</v>
      </c>
      <c r="B2071" t="s">
        <v>468</v>
      </c>
      <c r="C2071" s="2">
        <f>HYPERLINK("https://sao.dolgi.msk.ru/account/1404233606/", 1404233606)</f>
        <v>1404233606</v>
      </c>
      <c r="D2071">
        <v>-4967.49</v>
      </c>
    </row>
    <row r="2072" spans="1:4" hidden="1" x14ac:dyDescent="0.25">
      <c r="A2072" t="s">
        <v>419</v>
      </c>
      <c r="B2072" t="s">
        <v>469</v>
      </c>
      <c r="C2072" s="2">
        <f>HYPERLINK("https://sao.dolgi.msk.ru/account/1404229877/", 1404229877)</f>
        <v>1404229877</v>
      </c>
      <c r="D2072">
        <v>-6123.46</v>
      </c>
    </row>
    <row r="2073" spans="1:4" hidden="1" x14ac:dyDescent="0.25">
      <c r="A2073" t="s">
        <v>419</v>
      </c>
      <c r="B2073" t="s">
        <v>470</v>
      </c>
      <c r="C2073" s="2">
        <f>HYPERLINK("https://sao.dolgi.msk.ru/account/1404232435/", 1404232435)</f>
        <v>1404232435</v>
      </c>
      <c r="D2073">
        <v>-5940.25</v>
      </c>
    </row>
    <row r="2074" spans="1:4" hidden="1" x14ac:dyDescent="0.25">
      <c r="A2074" t="s">
        <v>419</v>
      </c>
      <c r="B2074" t="s">
        <v>471</v>
      </c>
      <c r="C2074" s="2">
        <f>HYPERLINK("https://sao.dolgi.msk.ru/account/1404227281/", 1404227281)</f>
        <v>1404227281</v>
      </c>
      <c r="D2074">
        <v>0</v>
      </c>
    </row>
    <row r="2075" spans="1:4" x14ac:dyDescent="0.25">
      <c r="A2075" t="s">
        <v>419</v>
      </c>
      <c r="B2075" t="s">
        <v>472</v>
      </c>
      <c r="C2075" s="2">
        <f>HYPERLINK("https://sao.dolgi.msk.ru/account/1404226975/", 1404226975)</f>
        <v>1404226975</v>
      </c>
      <c r="D2075">
        <v>8974.39</v>
      </c>
    </row>
    <row r="2076" spans="1:4" x14ac:dyDescent="0.25">
      <c r="A2076" t="s">
        <v>419</v>
      </c>
      <c r="B2076" t="s">
        <v>473</v>
      </c>
      <c r="C2076" s="2">
        <f>HYPERLINK("https://sao.dolgi.msk.ru/account/1404228313/", 1404228313)</f>
        <v>1404228313</v>
      </c>
      <c r="D2076">
        <v>49695.53</v>
      </c>
    </row>
    <row r="2077" spans="1:4" hidden="1" x14ac:dyDescent="0.25">
      <c r="A2077" t="s">
        <v>419</v>
      </c>
      <c r="B2077" t="s">
        <v>474</v>
      </c>
      <c r="C2077" s="2">
        <f>HYPERLINK("https://sao.dolgi.msk.ru/account/1404227345/", 1404227345)</f>
        <v>1404227345</v>
      </c>
      <c r="D2077">
        <v>-6712.65</v>
      </c>
    </row>
    <row r="2078" spans="1:4" hidden="1" x14ac:dyDescent="0.25">
      <c r="A2078" t="s">
        <v>419</v>
      </c>
      <c r="B2078" t="s">
        <v>475</v>
      </c>
      <c r="C2078" s="2">
        <f>HYPERLINK("https://sao.dolgi.msk.ru/account/1404233884/", 1404233884)</f>
        <v>1404233884</v>
      </c>
      <c r="D2078">
        <v>0</v>
      </c>
    </row>
    <row r="2079" spans="1:4" hidden="1" x14ac:dyDescent="0.25">
      <c r="A2079" t="s">
        <v>419</v>
      </c>
      <c r="B2079" t="s">
        <v>476</v>
      </c>
      <c r="C2079" s="2">
        <f>HYPERLINK("https://sao.dolgi.msk.ru/account/1404230333/", 1404230333)</f>
        <v>1404230333</v>
      </c>
      <c r="D2079">
        <v>0</v>
      </c>
    </row>
    <row r="2080" spans="1:4" hidden="1" x14ac:dyDescent="0.25">
      <c r="A2080" t="s">
        <v>419</v>
      </c>
      <c r="B2080" t="s">
        <v>477</v>
      </c>
      <c r="C2080" s="2">
        <f>HYPERLINK("https://sao.dolgi.msk.ru/account/1404230237/", 1404230237)</f>
        <v>1404230237</v>
      </c>
      <c r="D2080">
        <v>-6743.2</v>
      </c>
    </row>
    <row r="2081" spans="1:4" x14ac:dyDescent="0.25">
      <c r="A2081" t="s">
        <v>419</v>
      </c>
      <c r="B2081" t="s">
        <v>478</v>
      </c>
      <c r="C2081" s="2">
        <f>HYPERLINK("https://sao.dolgi.msk.ru/account/1404233892/", 1404233892)</f>
        <v>1404233892</v>
      </c>
      <c r="D2081">
        <v>61681.99</v>
      </c>
    </row>
    <row r="2082" spans="1:4" hidden="1" x14ac:dyDescent="0.25">
      <c r="A2082" t="s">
        <v>419</v>
      </c>
      <c r="B2082" t="s">
        <v>479</v>
      </c>
      <c r="C2082" s="2">
        <f>HYPERLINK("https://sao.dolgi.msk.ru/account/1404228858/", 1404228858)</f>
        <v>1404228858</v>
      </c>
      <c r="D2082">
        <v>-6263.72</v>
      </c>
    </row>
    <row r="2083" spans="1:4" hidden="1" x14ac:dyDescent="0.25">
      <c r="A2083" t="s">
        <v>419</v>
      </c>
      <c r="B2083" t="s">
        <v>480</v>
      </c>
      <c r="C2083" s="2">
        <f>HYPERLINK("https://sao.dolgi.msk.ru/account/1404228647/", 1404228647)</f>
        <v>1404228647</v>
      </c>
      <c r="D2083">
        <v>-9676.1299999999992</v>
      </c>
    </row>
    <row r="2084" spans="1:4" hidden="1" x14ac:dyDescent="0.25">
      <c r="A2084" t="s">
        <v>419</v>
      </c>
      <c r="B2084" t="s">
        <v>481</v>
      </c>
      <c r="C2084" s="2">
        <f>HYPERLINK("https://sao.dolgi.msk.ru/account/1404229447/", 1404229447)</f>
        <v>1404229447</v>
      </c>
      <c r="D2084">
        <v>0</v>
      </c>
    </row>
    <row r="2085" spans="1:4" hidden="1" x14ac:dyDescent="0.25">
      <c r="A2085" t="s">
        <v>419</v>
      </c>
      <c r="B2085" t="s">
        <v>482</v>
      </c>
      <c r="C2085" s="2">
        <f>HYPERLINK("https://sao.dolgi.msk.ru/account/1404234203/", 1404234203)</f>
        <v>1404234203</v>
      </c>
      <c r="D2085">
        <v>-6834.1</v>
      </c>
    </row>
    <row r="2086" spans="1:4" hidden="1" x14ac:dyDescent="0.25">
      <c r="A2086" t="s">
        <v>419</v>
      </c>
      <c r="B2086" t="s">
        <v>483</v>
      </c>
      <c r="C2086" s="2">
        <f>HYPERLINK("https://sao.dolgi.msk.ru/account/1404229703/", 1404229703)</f>
        <v>1404229703</v>
      </c>
      <c r="D2086">
        <v>0</v>
      </c>
    </row>
    <row r="2087" spans="1:4" x14ac:dyDescent="0.25">
      <c r="A2087" t="s">
        <v>419</v>
      </c>
      <c r="B2087" t="s">
        <v>484</v>
      </c>
      <c r="C2087" s="2">
        <f>HYPERLINK("https://sao.dolgi.msk.ru/account/1404233104/", 1404233104)</f>
        <v>1404233104</v>
      </c>
      <c r="D2087">
        <v>6349.25</v>
      </c>
    </row>
    <row r="2088" spans="1:4" hidden="1" x14ac:dyDescent="0.25">
      <c r="A2088" t="s">
        <v>419</v>
      </c>
      <c r="B2088" t="s">
        <v>485</v>
      </c>
      <c r="C2088" s="2">
        <f>HYPERLINK("https://sao.dolgi.msk.ru/account/1404228399/", 1404228399)</f>
        <v>1404228399</v>
      </c>
      <c r="D2088">
        <v>-5867.15</v>
      </c>
    </row>
    <row r="2089" spans="1:4" hidden="1" x14ac:dyDescent="0.25">
      <c r="A2089" t="s">
        <v>419</v>
      </c>
      <c r="B2089" t="s">
        <v>486</v>
      </c>
      <c r="C2089" s="2">
        <f>HYPERLINK("https://sao.dolgi.msk.ru/account/1404228831/", 1404228831)</f>
        <v>1404228831</v>
      </c>
      <c r="D2089">
        <v>0</v>
      </c>
    </row>
    <row r="2090" spans="1:4" hidden="1" x14ac:dyDescent="0.25">
      <c r="A2090" t="s">
        <v>419</v>
      </c>
      <c r="B2090" t="s">
        <v>487</v>
      </c>
      <c r="C2090" s="2">
        <f>HYPERLINK("https://sao.dolgi.msk.ru/account/1404232259/", 1404232259)</f>
        <v>1404232259</v>
      </c>
      <c r="D2090">
        <v>-12126.94</v>
      </c>
    </row>
    <row r="2091" spans="1:4" hidden="1" x14ac:dyDescent="0.25">
      <c r="A2091" t="s">
        <v>419</v>
      </c>
      <c r="B2091" t="s">
        <v>488</v>
      </c>
      <c r="C2091" s="2">
        <f>HYPERLINK("https://sao.dolgi.msk.ru/account/1404233622/", 1404233622)</f>
        <v>1404233622</v>
      </c>
      <c r="D2091">
        <v>0</v>
      </c>
    </row>
    <row r="2092" spans="1:4" hidden="1" x14ac:dyDescent="0.25">
      <c r="A2092" t="s">
        <v>419</v>
      </c>
      <c r="B2092" t="s">
        <v>489</v>
      </c>
      <c r="C2092" s="2">
        <f>HYPERLINK("https://sao.dolgi.msk.ru/account/1404229842/", 1404229842)</f>
        <v>1404229842</v>
      </c>
      <c r="D2092">
        <v>-5689.89</v>
      </c>
    </row>
    <row r="2093" spans="1:4" x14ac:dyDescent="0.25">
      <c r="A2093" t="s">
        <v>419</v>
      </c>
      <c r="B2093" t="s">
        <v>490</v>
      </c>
      <c r="C2093" s="2">
        <f>HYPERLINK("https://sao.dolgi.msk.ru/account/1404230368/", 1404230368)</f>
        <v>1404230368</v>
      </c>
      <c r="D2093">
        <v>34585.4</v>
      </c>
    </row>
    <row r="2094" spans="1:4" hidden="1" x14ac:dyDescent="0.25">
      <c r="A2094" t="s">
        <v>419</v>
      </c>
      <c r="B2094" t="s">
        <v>491</v>
      </c>
      <c r="C2094" s="2">
        <f>HYPERLINK("https://sao.dolgi.msk.ru/account/1404233008/", 1404233008)</f>
        <v>1404233008</v>
      </c>
      <c r="D2094">
        <v>0</v>
      </c>
    </row>
    <row r="2095" spans="1:4" x14ac:dyDescent="0.25">
      <c r="A2095" t="s">
        <v>419</v>
      </c>
      <c r="B2095" t="s">
        <v>492</v>
      </c>
      <c r="C2095" s="2">
        <f>HYPERLINK("https://sao.dolgi.msk.ru/account/1404227951/", 1404227951)</f>
        <v>1404227951</v>
      </c>
      <c r="D2095">
        <v>9846.73</v>
      </c>
    </row>
    <row r="2096" spans="1:4" hidden="1" x14ac:dyDescent="0.25">
      <c r="A2096" t="s">
        <v>419</v>
      </c>
      <c r="B2096" t="s">
        <v>493</v>
      </c>
      <c r="C2096" s="2">
        <f>HYPERLINK("https://sao.dolgi.msk.ru/account/1404229965/", 1404229965)</f>
        <v>1404229965</v>
      </c>
      <c r="D2096">
        <v>0</v>
      </c>
    </row>
    <row r="2097" spans="1:4" hidden="1" x14ac:dyDescent="0.25">
      <c r="A2097" t="s">
        <v>419</v>
      </c>
      <c r="B2097" t="s">
        <v>494</v>
      </c>
      <c r="C2097" s="2">
        <f>HYPERLINK("https://sao.dolgi.msk.ru/account/1404229439/", 1404229439)</f>
        <v>1404229439</v>
      </c>
      <c r="D2097">
        <v>-6050.6</v>
      </c>
    </row>
    <row r="2098" spans="1:4" hidden="1" x14ac:dyDescent="0.25">
      <c r="A2098" t="s">
        <v>419</v>
      </c>
      <c r="B2098" t="s">
        <v>495</v>
      </c>
      <c r="C2098" s="2">
        <f>HYPERLINK("https://sao.dolgi.msk.ru/account/1404231475/", 1404231475)</f>
        <v>1404231475</v>
      </c>
      <c r="D2098">
        <v>-7568.66</v>
      </c>
    </row>
    <row r="2099" spans="1:4" x14ac:dyDescent="0.25">
      <c r="A2099" t="s">
        <v>419</v>
      </c>
      <c r="B2099" t="s">
        <v>496</v>
      </c>
      <c r="C2099" s="2">
        <f>HYPERLINK("https://sao.dolgi.msk.ru/account/1404230325/", 1404230325)</f>
        <v>1404230325</v>
      </c>
      <c r="D2099">
        <v>5131.07</v>
      </c>
    </row>
    <row r="2100" spans="1:4" hidden="1" x14ac:dyDescent="0.25">
      <c r="A2100" t="s">
        <v>419</v>
      </c>
      <c r="B2100" t="s">
        <v>497</v>
      </c>
      <c r="C2100" s="2">
        <f>HYPERLINK("https://sao.dolgi.msk.ru/account/1404226959/", 1404226959)</f>
        <v>1404226959</v>
      </c>
      <c r="D2100">
        <v>-8125.58</v>
      </c>
    </row>
    <row r="2101" spans="1:4" hidden="1" x14ac:dyDescent="0.25">
      <c r="A2101" t="s">
        <v>419</v>
      </c>
      <c r="B2101" t="s">
        <v>498</v>
      </c>
      <c r="C2101" s="2">
        <f>HYPERLINK("https://sao.dolgi.msk.ru/account/1404232451/", 1404232451)</f>
        <v>1404232451</v>
      </c>
      <c r="D2101">
        <v>-7834.7</v>
      </c>
    </row>
    <row r="2102" spans="1:4" hidden="1" x14ac:dyDescent="0.25">
      <c r="A2102" t="s">
        <v>419</v>
      </c>
      <c r="B2102" t="s">
        <v>499</v>
      </c>
      <c r="C2102" s="2">
        <f>HYPERLINK("https://sao.dolgi.msk.ru/account/1404230245/", 1404230245)</f>
        <v>1404230245</v>
      </c>
      <c r="D2102">
        <v>-5640.49</v>
      </c>
    </row>
    <row r="2103" spans="1:4" hidden="1" x14ac:dyDescent="0.25">
      <c r="A2103" t="s">
        <v>419</v>
      </c>
      <c r="B2103" t="s">
        <v>500</v>
      </c>
      <c r="C2103" s="2">
        <f>HYPERLINK("https://sao.dolgi.msk.ru/account/1404230819/", 1404230819)</f>
        <v>1404230819</v>
      </c>
      <c r="D2103">
        <v>0</v>
      </c>
    </row>
    <row r="2104" spans="1:4" hidden="1" x14ac:dyDescent="0.25">
      <c r="A2104" t="s">
        <v>419</v>
      </c>
      <c r="B2104" t="s">
        <v>501</v>
      </c>
      <c r="C2104" s="2">
        <f>HYPERLINK("https://sao.dolgi.msk.ru/account/1404228364/", 1404228364)</f>
        <v>1404228364</v>
      </c>
      <c r="D2104">
        <v>-6691.02</v>
      </c>
    </row>
    <row r="2105" spans="1:4" hidden="1" x14ac:dyDescent="0.25">
      <c r="A2105" t="s">
        <v>419</v>
      </c>
      <c r="B2105" t="s">
        <v>502</v>
      </c>
      <c r="C2105" s="2">
        <f>HYPERLINK("https://sao.dolgi.msk.ru/account/1404233147/", 1404233147)</f>
        <v>1404233147</v>
      </c>
      <c r="D2105">
        <v>0</v>
      </c>
    </row>
    <row r="2106" spans="1:4" hidden="1" x14ac:dyDescent="0.25">
      <c r="A2106" t="s">
        <v>419</v>
      </c>
      <c r="B2106" t="s">
        <v>503</v>
      </c>
      <c r="C2106" s="2">
        <f>HYPERLINK("https://sao.dolgi.msk.ru/account/1404228372/", 1404228372)</f>
        <v>1404228372</v>
      </c>
      <c r="D2106">
        <v>-8856.0300000000007</v>
      </c>
    </row>
    <row r="2107" spans="1:4" hidden="1" x14ac:dyDescent="0.25">
      <c r="A2107" t="s">
        <v>419</v>
      </c>
      <c r="B2107" t="s">
        <v>504</v>
      </c>
      <c r="C2107" s="2">
        <f>HYPERLINK("https://sao.dolgi.msk.ru/account/1404231117/", 1404231117)</f>
        <v>1404231117</v>
      </c>
      <c r="D2107">
        <v>-5232.53</v>
      </c>
    </row>
    <row r="2108" spans="1:4" hidden="1" x14ac:dyDescent="0.25">
      <c r="A2108" t="s">
        <v>419</v>
      </c>
      <c r="B2108" t="s">
        <v>505</v>
      </c>
      <c r="C2108" s="2">
        <f>HYPERLINK("https://sao.dolgi.msk.ru/account/1404229404/", 1404229404)</f>
        <v>1404229404</v>
      </c>
      <c r="D2108">
        <v>-8179.42</v>
      </c>
    </row>
    <row r="2109" spans="1:4" hidden="1" x14ac:dyDescent="0.25">
      <c r="A2109" t="s">
        <v>419</v>
      </c>
      <c r="B2109" t="s">
        <v>506</v>
      </c>
      <c r="C2109" s="2">
        <f>HYPERLINK("https://sao.dolgi.msk.ru/account/1404233593/", 1404233593)</f>
        <v>1404233593</v>
      </c>
      <c r="D2109">
        <v>-8033.77</v>
      </c>
    </row>
    <row r="2110" spans="1:4" x14ac:dyDescent="0.25">
      <c r="A2110" t="s">
        <v>419</v>
      </c>
      <c r="B2110" t="s">
        <v>507</v>
      </c>
      <c r="C2110" s="2">
        <f>HYPERLINK("https://sao.dolgi.msk.ru/account/1404233614/", 1404233614)</f>
        <v>1404233614</v>
      </c>
      <c r="D2110">
        <v>3070.43</v>
      </c>
    </row>
    <row r="2111" spans="1:4" hidden="1" x14ac:dyDescent="0.25">
      <c r="A2111" t="s">
        <v>419</v>
      </c>
      <c r="B2111" t="s">
        <v>508</v>
      </c>
      <c r="C2111" s="2">
        <f>HYPERLINK("https://sao.dolgi.msk.ru/account/1404228487/", 1404228487)</f>
        <v>1404228487</v>
      </c>
      <c r="D2111">
        <v>0</v>
      </c>
    </row>
    <row r="2112" spans="1:4" hidden="1" x14ac:dyDescent="0.25">
      <c r="A2112" t="s">
        <v>419</v>
      </c>
      <c r="B2112" t="s">
        <v>509</v>
      </c>
      <c r="C2112" s="2">
        <f>HYPERLINK("https://sao.dolgi.msk.ru/account/1404226932/", 1404226932)</f>
        <v>1404226932</v>
      </c>
      <c r="D2112">
        <v>-7718.38</v>
      </c>
    </row>
    <row r="2113" spans="1:4" hidden="1" x14ac:dyDescent="0.25">
      <c r="A2113" t="s">
        <v>419</v>
      </c>
      <c r="B2113" t="s">
        <v>510</v>
      </c>
      <c r="C2113" s="2">
        <f>HYPERLINK("https://sao.dolgi.msk.ru/account/1404230958/", 1404230958)</f>
        <v>1404230958</v>
      </c>
      <c r="D2113">
        <v>-8346.01</v>
      </c>
    </row>
    <row r="2114" spans="1:4" hidden="1" x14ac:dyDescent="0.25">
      <c r="A2114" t="s">
        <v>419</v>
      </c>
      <c r="B2114" t="s">
        <v>511</v>
      </c>
      <c r="C2114" s="2">
        <f>HYPERLINK("https://sao.dolgi.msk.ru/account/1404229455/", 1404229455)</f>
        <v>1404229455</v>
      </c>
      <c r="D2114">
        <v>-7192.53</v>
      </c>
    </row>
    <row r="2115" spans="1:4" hidden="1" x14ac:dyDescent="0.25">
      <c r="A2115" t="s">
        <v>419</v>
      </c>
      <c r="B2115" t="s">
        <v>512</v>
      </c>
      <c r="C2115" s="2">
        <f>HYPERLINK("https://sao.dolgi.msk.ru/account/1404232419/", 1404232419)</f>
        <v>1404232419</v>
      </c>
      <c r="D2115">
        <v>-6376.68</v>
      </c>
    </row>
    <row r="2116" spans="1:4" hidden="1" x14ac:dyDescent="0.25">
      <c r="A2116" t="s">
        <v>419</v>
      </c>
      <c r="B2116" t="s">
        <v>513</v>
      </c>
      <c r="C2116" s="2">
        <f>HYPERLINK("https://sao.dolgi.msk.ru/account/1404231176/", 1404231176)</f>
        <v>1404231176</v>
      </c>
      <c r="D2116">
        <v>-8518.14</v>
      </c>
    </row>
    <row r="2117" spans="1:4" hidden="1" x14ac:dyDescent="0.25">
      <c r="A2117" t="s">
        <v>419</v>
      </c>
      <c r="B2117" t="s">
        <v>514</v>
      </c>
      <c r="C2117" s="2">
        <f>HYPERLINK("https://sao.dolgi.msk.ru/account/1404232531/", 1404232531)</f>
        <v>1404232531</v>
      </c>
      <c r="D2117">
        <v>0</v>
      </c>
    </row>
    <row r="2118" spans="1:4" hidden="1" x14ac:dyDescent="0.25">
      <c r="A2118" t="s">
        <v>419</v>
      </c>
      <c r="B2118" t="s">
        <v>515</v>
      </c>
      <c r="C2118" s="2">
        <f>HYPERLINK("https://sao.dolgi.msk.ru/account/1404234537/", 1404234537)</f>
        <v>1404234537</v>
      </c>
      <c r="D2118">
        <v>-3660.92</v>
      </c>
    </row>
    <row r="2119" spans="1:4" hidden="1" x14ac:dyDescent="0.25">
      <c r="A2119" t="s">
        <v>419</v>
      </c>
      <c r="B2119" t="s">
        <v>516</v>
      </c>
      <c r="C2119" s="2">
        <f>HYPERLINK("https://sao.dolgi.msk.ru/account/1404229391/", 1404229391)</f>
        <v>1404229391</v>
      </c>
      <c r="D2119">
        <v>-6887.08</v>
      </c>
    </row>
    <row r="2120" spans="1:4" hidden="1" x14ac:dyDescent="0.25">
      <c r="A2120" t="s">
        <v>419</v>
      </c>
      <c r="B2120" t="s">
        <v>517</v>
      </c>
      <c r="C2120" s="2">
        <f>HYPERLINK("https://sao.dolgi.msk.ru/account/1404232136/", 1404232136)</f>
        <v>1404232136</v>
      </c>
      <c r="D2120">
        <v>-7200.45</v>
      </c>
    </row>
    <row r="2121" spans="1:4" hidden="1" x14ac:dyDescent="0.25">
      <c r="A2121" t="s">
        <v>419</v>
      </c>
      <c r="B2121" t="s">
        <v>518</v>
      </c>
      <c r="C2121" s="2">
        <f>HYPERLINK("https://sao.dolgi.msk.ru/account/1404228479/", 1404228479)</f>
        <v>1404228479</v>
      </c>
      <c r="D2121">
        <v>-6250.81</v>
      </c>
    </row>
    <row r="2122" spans="1:4" hidden="1" x14ac:dyDescent="0.25">
      <c r="A2122" t="s">
        <v>419</v>
      </c>
      <c r="B2122" t="s">
        <v>519</v>
      </c>
      <c r="C2122" s="2">
        <f>HYPERLINK("https://sao.dolgi.msk.ru/account/1404228989/", 1404228989)</f>
        <v>1404228989</v>
      </c>
      <c r="D2122">
        <v>0</v>
      </c>
    </row>
    <row r="2123" spans="1:4" hidden="1" x14ac:dyDescent="0.25">
      <c r="A2123" t="s">
        <v>419</v>
      </c>
      <c r="B2123" t="s">
        <v>520</v>
      </c>
      <c r="C2123" s="2">
        <f>HYPERLINK("https://sao.dolgi.msk.ru/account/1404230755/", 1404230755)</f>
        <v>1404230755</v>
      </c>
      <c r="D2123">
        <v>0</v>
      </c>
    </row>
    <row r="2124" spans="1:4" hidden="1" x14ac:dyDescent="0.25">
      <c r="A2124" t="s">
        <v>419</v>
      </c>
      <c r="B2124" t="s">
        <v>521</v>
      </c>
      <c r="C2124" s="2">
        <f>HYPERLINK("https://sao.dolgi.msk.ru/account/1404228145/", 1404228145)</f>
        <v>1404228145</v>
      </c>
      <c r="D2124">
        <v>-6721.46</v>
      </c>
    </row>
    <row r="2125" spans="1:4" hidden="1" x14ac:dyDescent="0.25">
      <c r="A2125" t="s">
        <v>419</v>
      </c>
      <c r="B2125" t="s">
        <v>522</v>
      </c>
      <c r="C2125" s="2">
        <f>HYPERLINK("https://sao.dolgi.msk.ru/account/1404228153/", 1404228153)</f>
        <v>1404228153</v>
      </c>
      <c r="D2125">
        <v>-9488.7999999999993</v>
      </c>
    </row>
    <row r="2126" spans="1:4" hidden="1" x14ac:dyDescent="0.25">
      <c r="A2126" t="s">
        <v>419</v>
      </c>
      <c r="B2126" t="s">
        <v>523</v>
      </c>
      <c r="C2126" s="2">
        <f>HYPERLINK("https://sao.dolgi.msk.ru/account/1404233833/", 1404233833)</f>
        <v>1404233833</v>
      </c>
      <c r="D2126">
        <v>-4563.78</v>
      </c>
    </row>
    <row r="2127" spans="1:4" x14ac:dyDescent="0.25">
      <c r="A2127" t="s">
        <v>419</v>
      </c>
      <c r="B2127" t="s">
        <v>524</v>
      </c>
      <c r="C2127" s="2">
        <f>HYPERLINK("https://sao.dolgi.msk.ru/account/1404233841/", 1404233841)</f>
        <v>1404233841</v>
      </c>
      <c r="D2127">
        <v>8401.06</v>
      </c>
    </row>
    <row r="2128" spans="1:4" hidden="1" x14ac:dyDescent="0.25">
      <c r="A2128" t="s">
        <v>419</v>
      </c>
      <c r="B2128" t="s">
        <v>525</v>
      </c>
      <c r="C2128" s="2">
        <f>HYPERLINK("https://sao.dolgi.msk.ru/account/1404229172/", 1404229172)</f>
        <v>1404229172</v>
      </c>
      <c r="D2128">
        <v>0</v>
      </c>
    </row>
    <row r="2129" spans="1:4" hidden="1" x14ac:dyDescent="0.25">
      <c r="A2129" t="s">
        <v>419</v>
      </c>
      <c r="B2129" t="s">
        <v>526</v>
      </c>
      <c r="C2129" s="2">
        <f>HYPERLINK("https://sao.dolgi.msk.ru/account/1404231782/", 1404231782)</f>
        <v>1404231782</v>
      </c>
      <c r="D2129">
        <v>-232.01</v>
      </c>
    </row>
    <row r="2130" spans="1:4" hidden="1" x14ac:dyDescent="0.25">
      <c r="A2130" t="s">
        <v>419</v>
      </c>
      <c r="B2130" t="s">
        <v>527</v>
      </c>
      <c r="C2130" s="2">
        <f>HYPERLINK("https://sao.dolgi.msk.ru/account/1404229199/", 1404229199)</f>
        <v>1404229199</v>
      </c>
      <c r="D2130">
        <v>0</v>
      </c>
    </row>
    <row r="2131" spans="1:4" x14ac:dyDescent="0.25">
      <c r="A2131" t="s">
        <v>419</v>
      </c>
      <c r="B2131" t="s">
        <v>528</v>
      </c>
      <c r="C2131" s="2">
        <f>HYPERLINK("https://sao.dolgi.msk.ru/account/1404231803/", 1404231803)</f>
        <v>1404231803</v>
      </c>
      <c r="D2131">
        <v>14576.16</v>
      </c>
    </row>
    <row r="2132" spans="1:4" hidden="1" x14ac:dyDescent="0.25">
      <c r="A2132" t="s">
        <v>419</v>
      </c>
      <c r="B2132" t="s">
        <v>529</v>
      </c>
      <c r="C2132" s="2">
        <f>HYPERLINK("https://sao.dolgi.msk.ru/account/1404232881/", 1404232881)</f>
        <v>1404232881</v>
      </c>
      <c r="D2132">
        <v>-5462.74</v>
      </c>
    </row>
    <row r="2133" spans="1:4" x14ac:dyDescent="0.25">
      <c r="A2133" t="s">
        <v>419</v>
      </c>
      <c r="B2133" t="s">
        <v>530</v>
      </c>
      <c r="C2133" s="2">
        <f>HYPERLINK("https://sao.dolgi.msk.ru/account/1404227417/", 1404227417)</f>
        <v>1404227417</v>
      </c>
      <c r="D2133">
        <v>9829.1</v>
      </c>
    </row>
    <row r="2134" spans="1:4" hidden="1" x14ac:dyDescent="0.25">
      <c r="A2134" t="s">
        <v>419</v>
      </c>
      <c r="B2134" t="s">
        <v>531</v>
      </c>
      <c r="C2134" s="2">
        <f>HYPERLINK("https://sao.dolgi.msk.ru/account/1404228284/", 1404228284)</f>
        <v>1404228284</v>
      </c>
      <c r="D2134">
        <v>-4999.62</v>
      </c>
    </row>
    <row r="2135" spans="1:4" hidden="1" x14ac:dyDescent="0.25">
      <c r="A2135" t="s">
        <v>419</v>
      </c>
      <c r="B2135" t="s">
        <v>532</v>
      </c>
      <c r="C2135" s="2">
        <f>HYPERLINK("https://sao.dolgi.msk.ru/account/1404229201/", 1404229201)</f>
        <v>1404229201</v>
      </c>
      <c r="D2135">
        <v>0</v>
      </c>
    </row>
    <row r="2136" spans="1:4" hidden="1" x14ac:dyDescent="0.25">
      <c r="A2136" t="s">
        <v>419</v>
      </c>
      <c r="B2136" t="s">
        <v>533</v>
      </c>
      <c r="C2136" s="2">
        <f>HYPERLINK("https://sao.dolgi.msk.ru/account/1404230093/", 1404230093)</f>
        <v>1404230093</v>
      </c>
      <c r="D2136">
        <v>-5067.8100000000004</v>
      </c>
    </row>
    <row r="2137" spans="1:4" hidden="1" x14ac:dyDescent="0.25">
      <c r="A2137" t="s">
        <v>419</v>
      </c>
      <c r="B2137" t="s">
        <v>534</v>
      </c>
      <c r="C2137" s="2">
        <f>HYPERLINK("https://sao.dolgi.msk.ru/account/1404232902/", 1404232902)</f>
        <v>1404232902</v>
      </c>
      <c r="D2137">
        <v>-3025.6</v>
      </c>
    </row>
    <row r="2138" spans="1:4" hidden="1" x14ac:dyDescent="0.25">
      <c r="A2138" t="s">
        <v>419</v>
      </c>
      <c r="B2138" t="s">
        <v>534</v>
      </c>
      <c r="C2138" s="2">
        <f>HYPERLINK("https://sao.dolgi.msk.ru/account/1404293991/", 1404293991)</f>
        <v>1404293991</v>
      </c>
      <c r="D2138">
        <v>0</v>
      </c>
    </row>
    <row r="2139" spans="1:4" hidden="1" x14ac:dyDescent="0.25">
      <c r="A2139" t="s">
        <v>419</v>
      </c>
      <c r="B2139" t="s">
        <v>535</v>
      </c>
      <c r="C2139" s="2">
        <f>HYPERLINK("https://sao.dolgi.msk.ru/account/1404232929/", 1404232929)</f>
        <v>1404232929</v>
      </c>
      <c r="D2139">
        <v>-6484.73</v>
      </c>
    </row>
    <row r="2140" spans="1:4" hidden="1" x14ac:dyDescent="0.25">
      <c r="A2140" t="s">
        <v>419</v>
      </c>
      <c r="B2140" t="s">
        <v>536</v>
      </c>
      <c r="C2140" s="2">
        <f>HYPERLINK("https://sao.dolgi.msk.ru/account/1404234334/", 1404234334)</f>
        <v>1404234334</v>
      </c>
      <c r="D2140">
        <v>-6075.56</v>
      </c>
    </row>
    <row r="2141" spans="1:4" hidden="1" x14ac:dyDescent="0.25">
      <c r="A2141" t="s">
        <v>419</v>
      </c>
      <c r="B2141" t="s">
        <v>537</v>
      </c>
      <c r="C2141" s="2">
        <f>HYPERLINK("https://sao.dolgi.msk.ru/account/1404234342/", 1404234342)</f>
        <v>1404234342</v>
      </c>
      <c r="D2141">
        <v>-8747.5</v>
      </c>
    </row>
    <row r="2142" spans="1:4" hidden="1" x14ac:dyDescent="0.25">
      <c r="A2142" t="s">
        <v>419</v>
      </c>
      <c r="B2142" t="s">
        <v>538</v>
      </c>
      <c r="C2142" s="2">
        <f>HYPERLINK("https://sao.dolgi.msk.ru/account/1404230309/", 1404230309)</f>
        <v>1404230309</v>
      </c>
      <c r="D2142">
        <v>-6320.67</v>
      </c>
    </row>
    <row r="2143" spans="1:4" hidden="1" x14ac:dyDescent="0.25">
      <c r="A2143" t="s">
        <v>419</v>
      </c>
      <c r="B2143" t="s">
        <v>539</v>
      </c>
      <c r="C2143" s="2">
        <f>HYPERLINK("https://sao.dolgi.msk.ru/account/1404228452/", 1404228452)</f>
        <v>1404228452</v>
      </c>
      <c r="D2143">
        <v>-4861.4799999999996</v>
      </c>
    </row>
    <row r="2144" spans="1:4" hidden="1" x14ac:dyDescent="0.25">
      <c r="A2144" t="s">
        <v>419</v>
      </c>
      <c r="B2144" t="s">
        <v>540</v>
      </c>
      <c r="C2144" s="2">
        <f>HYPERLINK("https://sao.dolgi.msk.ru/account/1404231133/", 1404231133)</f>
        <v>1404231133</v>
      </c>
      <c r="D2144">
        <v>-4723.07</v>
      </c>
    </row>
    <row r="2145" spans="1:4" hidden="1" x14ac:dyDescent="0.25">
      <c r="A2145" t="s">
        <v>419</v>
      </c>
      <c r="B2145" t="s">
        <v>541</v>
      </c>
      <c r="C2145" s="2">
        <f>HYPERLINK("https://sao.dolgi.msk.ru/account/1404231141/", 1404231141)</f>
        <v>1404231141</v>
      </c>
      <c r="D2145">
        <v>-5494.16</v>
      </c>
    </row>
    <row r="2146" spans="1:4" hidden="1" x14ac:dyDescent="0.25">
      <c r="A2146" t="s">
        <v>419</v>
      </c>
      <c r="B2146" t="s">
        <v>542</v>
      </c>
      <c r="C2146" s="2">
        <f>HYPERLINK("https://sao.dolgi.msk.ru/account/1404227599/", 1404227599)</f>
        <v>1404227599</v>
      </c>
      <c r="D2146">
        <v>0</v>
      </c>
    </row>
    <row r="2147" spans="1:4" hidden="1" x14ac:dyDescent="0.25">
      <c r="A2147" t="s">
        <v>419</v>
      </c>
      <c r="B2147" t="s">
        <v>543</v>
      </c>
      <c r="C2147" s="2">
        <f>HYPERLINK("https://sao.dolgi.msk.ru/account/1404232646/", 1404232646)</f>
        <v>1404232646</v>
      </c>
      <c r="D2147">
        <v>-4025.04</v>
      </c>
    </row>
    <row r="2148" spans="1:4" hidden="1" x14ac:dyDescent="0.25">
      <c r="A2148" t="s">
        <v>419</v>
      </c>
      <c r="B2148" t="s">
        <v>544</v>
      </c>
      <c r="C2148" s="2">
        <f>HYPERLINK("https://sao.dolgi.msk.ru/account/1404228137/", 1404228137)</f>
        <v>1404228137</v>
      </c>
      <c r="D2148">
        <v>-7388.41</v>
      </c>
    </row>
    <row r="2149" spans="1:4" x14ac:dyDescent="0.25">
      <c r="A2149" t="s">
        <v>419</v>
      </c>
      <c r="B2149" t="s">
        <v>545</v>
      </c>
      <c r="C2149" s="2">
        <f>HYPERLINK("https://sao.dolgi.msk.ru/account/1404229033/", 1404229033)</f>
        <v>1404229033</v>
      </c>
      <c r="D2149">
        <v>3050.69</v>
      </c>
    </row>
    <row r="2150" spans="1:4" hidden="1" x14ac:dyDescent="0.25">
      <c r="A2150" t="s">
        <v>419</v>
      </c>
      <c r="B2150" t="s">
        <v>546</v>
      </c>
      <c r="C2150" s="2">
        <f>HYPERLINK("https://sao.dolgi.msk.ru/account/1404232654/", 1404232654)</f>
        <v>1404232654</v>
      </c>
      <c r="D2150">
        <v>0</v>
      </c>
    </row>
    <row r="2151" spans="1:4" hidden="1" x14ac:dyDescent="0.25">
      <c r="A2151" t="s">
        <v>419</v>
      </c>
      <c r="B2151" t="s">
        <v>547</v>
      </c>
      <c r="C2151" s="2">
        <f>HYPERLINK("https://sao.dolgi.msk.ru/account/1404227257/", 1404227257)</f>
        <v>1404227257</v>
      </c>
      <c r="D2151">
        <v>-5261.2</v>
      </c>
    </row>
    <row r="2152" spans="1:4" hidden="1" x14ac:dyDescent="0.25">
      <c r="A2152" t="s">
        <v>419</v>
      </c>
      <c r="B2152" t="s">
        <v>548</v>
      </c>
      <c r="C2152" s="2">
        <f>HYPERLINK("https://sao.dolgi.msk.ru/account/1404231635/", 1404231635)</f>
        <v>1404231635</v>
      </c>
      <c r="D2152">
        <v>-4194.07</v>
      </c>
    </row>
    <row r="2153" spans="1:4" hidden="1" x14ac:dyDescent="0.25">
      <c r="A2153" t="s">
        <v>419</v>
      </c>
      <c r="B2153" t="s">
        <v>549</v>
      </c>
      <c r="C2153" s="2">
        <f>HYPERLINK("https://sao.dolgi.msk.ru/account/1404229041/", 1404229041)</f>
        <v>1404229041</v>
      </c>
      <c r="D2153">
        <v>0</v>
      </c>
    </row>
    <row r="2154" spans="1:4" hidden="1" x14ac:dyDescent="0.25">
      <c r="A2154" t="s">
        <v>419</v>
      </c>
      <c r="B2154" t="s">
        <v>550</v>
      </c>
      <c r="C2154" s="2">
        <f>HYPERLINK("https://sao.dolgi.msk.ru/account/1404232371/", 1404232371)</f>
        <v>1404232371</v>
      </c>
      <c r="D2154">
        <v>-2322.0300000000002</v>
      </c>
    </row>
    <row r="2155" spans="1:4" hidden="1" x14ac:dyDescent="0.25">
      <c r="A2155" t="s">
        <v>419</v>
      </c>
      <c r="B2155" t="s">
        <v>550</v>
      </c>
      <c r="C2155" s="2">
        <f>HYPERLINK("https://sao.dolgi.msk.ru/account/1404233702/", 1404233702)</f>
        <v>1404233702</v>
      </c>
      <c r="D2155">
        <v>-3103.22</v>
      </c>
    </row>
    <row r="2156" spans="1:4" x14ac:dyDescent="0.25">
      <c r="A2156" t="s">
        <v>419</v>
      </c>
      <c r="B2156" t="s">
        <v>551</v>
      </c>
      <c r="C2156" s="2">
        <f>HYPERLINK("https://sao.dolgi.msk.ru/account/1404233868/", 1404233868)</f>
        <v>1404233868</v>
      </c>
      <c r="D2156">
        <v>14534.98</v>
      </c>
    </row>
    <row r="2157" spans="1:4" hidden="1" x14ac:dyDescent="0.25">
      <c r="A2157" t="s">
        <v>419</v>
      </c>
      <c r="B2157" t="s">
        <v>552</v>
      </c>
      <c r="C2157" s="2">
        <f>HYPERLINK("https://sao.dolgi.msk.ru/account/1404234465/", 1404234465)</f>
        <v>1404234465</v>
      </c>
      <c r="D2157">
        <v>-5637.33</v>
      </c>
    </row>
    <row r="2158" spans="1:4" hidden="1" x14ac:dyDescent="0.25">
      <c r="A2158" t="s">
        <v>419</v>
      </c>
      <c r="B2158" t="s">
        <v>553</v>
      </c>
      <c r="C2158" s="2">
        <f>HYPERLINK("https://sao.dolgi.msk.ru/account/1404228161/", 1404228161)</f>
        <v>1404228161</v>
      </c>
      <c r="D2158">
        <v>0</v>
      </c>
    </row>
    <row r="2159" spans="1:4" hidden="1" x14ac:dyDescent="0.25">
      <c r="A2159" t="s">
        <v>419</v>
      </c>
      <c r="B2159" t="s">
        <v>554</v>
      </c>
      <c r="C2159" s="2">
        <f>HYPERLINK("https://sao.dolgi.msk.ru/account/1404229068/", 1404229068)</f>
        <v>1404229068</v>
      </c>
      <c r="D2159">
        <v>0</v>
      </c>
    </row>
    <row r="2160" spans="1:4" hidden="1" x14ac:dyDescent="0.25">
      <c r="A2160" t="s">
        <v>419</v>
      </c>
      <c r="B2160" t="s">
        <v>555</v>
      </c>
      <c r="C2160" s="2">
        <f>HYPERLINK("https://sao.dolgi.msk.ru/account/1404229949/", 1404229949)</f>
        <v>1404229949</v>
      </c>
      <c r="D2160">
        <v>-4367.21</v>
      </c>
    </row>
    <row r="2161" spans="1:4" hidden="1" x14ac:dyDescent="0.25">
      <c r="A2161" t="s">
        <v>419</v>
      </c>
      <c r="B2161" t="s">
        <v>556</v>
      </c>
      <c r="C2161" s="2">
        <f>HYPERLINK("https://sao.dolgi.msk.ru/account/1404228188/", 1404228188)</f>
        <v>1404228188</v>
      </c>
      <c r="D2161">
        <v>0</v>
      </c>
    </row>
    <row r="2162" spans="1:4" hidden="1" x14ac:dyDescent="0.25">
      <c r="A2162" t="s">
        <v>419</v>
      </c>
      <c r="B2162" t="s">
        <v>557</v>
      </c>
      <c r="C2162" s="2">
        <f>HYPERLINK("https://sao.dolgi.msk.ru/account/1404232291/", 1404232291)</f>
        <v>1404232291</v>
      </c>
      <c r="D2162">
        <v>0</v>
      </c>
    </row>
    <row r="2163" spans="1:4" x14ac:dyDescent="0.25">
      <c r="A2163" t="s">
        <v>419</v>
      </c>
      <c r="B2163" t="s">
        <v>558</v>
      </c>
      <c r="C2163" s="2">
        <f>HYPERLINK("https://sao.dolgi.msk.ru/account/1404232304/", 1404232304)</f>
        <v>1404232304</v>
      </c>
      <c r="D2163">
        <v>3218.04</v>
      </c>
    </row>
    <row r="2164" spans="1:4" hidden="1" x14ac:dyDescent="0.25">
      <c r="A2164" t="s">
        <v>419</v>
      </c>
      <c r="B2164" t="s">
        <v>559</v>
      </c>
      <c r="C2164" s="2">
        <f>HYPERLINK("https://sao.dolgi.msk.ru/account/1404228727/", 1404228727)</f>
        <v>1404228727</v>
      </c>
      <c r="D2164">
        <v>-9341.25</v>
      </c>
    </row>
    <row r="2165" spans="1:4" hidden="1" x14ac:dyDescent="0.25">
      <c r="A2165" t="s">
        <v>419</v>
      </c>
      <c r="B2165" t="s">
        <v>560</v>
      </c>
      <c r="C2165" s="2">
        <f>HYPERLINK("https://sao.dolgi.msk.ru/account/1404231352/", 1404231352)</f>
        <v>1404231352</v>
      </c>
      <c r="D2165">
        <v>-4786.0600000000004</v>
      </c>
    </row>
    <row r="2166" spans="1:4" hidden="1" x14ac:dyDescent="0.25">
      <c r="A2166" t="s">
        <v>419</v>
      </c>
      <c r="B2166" t="s">
        <v>561</v>
      </c>
      <c r="C2166" s="2">
        <f>HYPERLINK("https://sao.dolgi.msk.ru/account/1404232312/", 1404232312)</f>
        <v>1404232312</v>
      </c>
      <c r="D2166">
        <v>-7490.28</v>
      </c>
    </row>
    <row r="2167" spans="1:4" hidden="1" x14ac:dyDescent="0.25">
      <c r="A2167" t="s">
        <v>419</v>
      </c>
      <c r="B2167" t="s">
        <v>562</v>
      </c>
      <c r="C2167" s="2">
        <f>HYPERLINK("https://sao.dolgi.msk.ru/account/1404231379/", 1404231379)</f>
        <v>1404231379</v>
      </c>
      <c r="D2167">
        <v>0</v>
      </c>
    </row>
    <row r="2168" spans="1:4" hidden="1" x14ac:dyDescent="0.25">
      <c r="A2168" t="s">
        <v>419</v>
      </c>
      <c r="B2168" t="s">
        <v>563</v>
      </c>
      <c r="C2168" s="2">
        <f>HYPERLINK("https://sao.dolgi.msk.ru/account/1404233462/", 1404233462)</f>
        <v>1404233462</v>
      </c>
      <c r="D2168">
        <v>-5641.92</v>
      </c>
    </row>
    <row r="2169" spans="1:4" hidden="1" x14ac:dyDescent="0.25">
      <c r="A2169" t="s">
        <v>419</v>
      </c>
      <c r="B2169" t="s">
        <v>564</v>
      </c>
      <c r="C2169" s="2">
        <f>HYPERLINK("https://sao.dolgi.msk.ru/account/1404233489/", 1404233489)</f>
        <v>1404233489</v>
      </c>
      <c r="D2169">
        <v>0</v>
      </c>
    </row>
    <row r="2170" spans="1:4" hidden="1" x14ac:dyDescent="0.25">
      <c r="A2170" t="s">
        <v>419</v>
      </c>
      <c r="B2170" t="s">
        <v>565</v>
      </c>
      <c r="C2170" s="2">
        <f>HYPERLINK("https://sao.dolgi.msk.ru/account/1404231395/", 1404231395)</f>
        <v>1404231395</v>
      </c>
      <c r="D2170">
        <v>-3810.84</v>
      </c>
    </row>
    <row r="2171" spans="1:4" x14ac:dyDescent="0.25">
      <c r="A2171" t="s">
        <v>419</v>
      </c>
      <c r="B2171" t="s">
        <v>566</v>
      </c>
      <c r="C2171" s="2">
        <f>HYPERLINK("https://sao.dolgi.msk.ru/account/1404232339/", 1404232339)</f>
        <v>1404232339</v>
      </c>
      <c r="D2171">
        <v>3477.84</v>
      </c>
    </row>
    <row r="2172" spans="1:4" hidden="1" x14ac:dyDescent="0.25">
      <c r="A2172" t="s">
        <v>419</v>
      </c>
      <c r="B2172" t="s">
        <v>567</v>
      </c>
      <c r="C2172" s="2">
        <f>HYPERLINK("https://sao.dolgi.msk.ru/account/1404226852/", 1404226852)</f>
        <v>1404226852</v>
      </c>
      <c r="D2172">
        <v>-8260.0400000000009</v>
      </c>
    </row>
    <row r="2173" spans="1:4" hidden="1" x14ac:dyDescent="0.25">
      <c r="A2173" t="s">
        <v>419</v>
      </c>
      <c r="B2173" t="s">
        <v>568</v>
      </c>
      <c r="C2173" s="2">
        <f>HYPERLINK("https://sao.dolgi.msk.ru/account/1404231408/", 1404231408)</f>
        <v>1404231408</v>
      </c>
      <c r="D2173">
        <v>0</v>
      </c>
    </row>
    <row r="2174" spans="1:4" hidden="1" x14ac:dyDescent="0.25">
      <c r="A2174" t="s">
        <v>419</v>
      </c>
      <c r="B2174" t="s">
        <v>569</v>
      </c>
      <c r="C2174" s="2">
        <f>HYPERLINK("https://sao.dolgi.msk.ru/account/1404234035/", 1404234035)</f>
        <v>1404234035</v>
      </c>
      <c r="D2174">
        <v>-5770.36</v>
      </c>
    </row>
    <row r="2175" spans="1:4" hidden="1" x14ac:dyDescent="0.25">
      <c r="A2175" t="s">
        <v>419</v>
      </c>
      <c r="B2175" t="s">
        <v>570</v>
      </c>
      <c r="C2175" s="2">
        <f>HYPERLINK("https://sao.dolgi.msk.ru/account/1404230114/", 1404230114)</f>
        <v>1404230114</v>
      </c>
      <c r="D2175">
        <v>-6268.12</v>
      </c>
    </row>
    <row r="2176" spans="1:4" hidden="1" x14ac:dyDescent="0.25">
      <c r="A2176" t="s">
        <v>419</v>
      </c>
      <c r="B2176" t="s">
        <v>571</v>
      </c>
      <c r="C2176" s="2">
        <f>HYPERLINK("https://sao.dolgi.msk.ru/account/1404232662/", 1404232662)</f>
        <v>1404232662</v>
      </c>
      <c r="D2176">
        <v>-9125.61</v>
      </c>
    </row>
    <row r="2177" spans="1:4" hidden="1" x14ac:dyDescent="0.25">
      <c r="A2177" t="s">
        <v>419</v>
      </c>
      <c r="B2177" t="s">
        <v>572</v>
      </c>
      <c r="C2177" s="2">
        <f>HYPERLINK("https://sao.dolgi.msk.ru/account/1404227265/", 1404227265)</f>
        <v>1404227265</v>
      </c>
      <c r="D2177">
        <v>0</v>
      </c>
    </row>
    <row r="2178" spans="1:4" hidden="1" x14ac:dyDescent="0.25">
      <c r="A2178" t="s">
        <v>419</v>
      </c>
      <c r="B2178" t="s">
        <v>573</v>
      </c>
      <c r="C2178" s="2">
        <f>HYPERLINK("https://sao.dolgi.msk.ru/account/1404233454/", 1404233454)</f>
        <v>1404233454</v>
      </c>
      <c r="D2178">
        <v>0</v>
      </c>
    </row>
    <row r="2179" spans="1:4" hidden="1" x14ac:dyDescent="0.25">
      <c r="A2179" t="s">
        <v>419</v>
      </c>
      <c r="B2179" t="s">
        <v>574</v>
      </c>
      <c r="C2179" s="2">
        <f>HYPERLINK("https://sao.dolgi.msk.ru/account/1404228735/", 1404228735)</f>
        <v>1404228735</v>
      </c>
      <c r="D2179">
        <v>-1761.14</v>
      </c>
    </row>
    <row r="2180" spans="1:4" hidden="1" x14ac:dyDescent="0.25">
      <c r="A2180" t="s">
        <v>419</v>
      </c>
      <c r="B2180" t="s">
        <v>575</v>
      </c>
      <c r="C2180" s="2">
        <f>HYPERLINK("https://sao.dolgi.msk.ru/account/1404231387/", 1404231387)</f>
        <v>1404231387</v>
      </c>
      <c r="D2180">
        <v>0</v>
      </c>
    </row>
    <row r="2181" spans="1:4" hidden="1" x14ac:dyDescent="0.25">
      <c r="A2181" t="s">
        <v>419</v>
      </c>
      <c r="B2181" t="s">
        <v>576</v>
      </c>
      <c r="C2181" s="2">
        <f>HYPERLINK("https://sao.dolgi.msk.ru/account/1404229623/", 1404229623)</f>
        <v>1404229623</v>
      </c>
      <c r="D2181">
        <v>-7296.78</v>
      </c>
    </row>
    <row r="2182" spans="1:4" hidden="1" x14ac:dyDescent="0.25">
      <c r="A2182" t="s">
        <v>419</v>
      </c>
      <c r="B2182" t="s">
        <v>577</v>
      </c>
      <c r="C2182" s="2">
        <f>HYPERLINK("https://sao.dolgi.msk.ru/account/1404234051/", 1404234051)</f>
        <v>1404234051</v>
      </c>
      <c r="D2182">
        <v>-7207.76</v>
      </c>
    </row>
    <row r="2183" spans="1:4" x14ac:dyDescent="0.25">
      <c r="A2183" t="s">
        <v>419</v>
      </c>
      <c r="B2183" t="s">
        <v>578</v>
      </c>
      <c r="C2183" s="2">
        <f>HYPERLINK("https://sao.dolgi.msk.ru/account/1404230149/", 1404230149)</f>
        <v>1404230149</v>
      </c>
      <c r="D2183">
        <v>12370.26</v>
      </c>
    </row>
    <row r="2184" spans="1:4" hidden="1" x14ac:dyDescent="0.25">
      <c r="A2184" t="s">
        <v>419</v>
      </c>
      <c r="B2184" t="s">
        <v>579</v>
      </c>
      <c r="C2184" s="2">
        <f>HYPERLINK("https://sao.dolgi.msk.ru/account/1404234078/", 1404234078)</f>
        <v>1404234078</v>
      </c>
      <c r="D2184">
        <v>-5854.16</v>
      </c>
    </row>
    <row r="2185" spans="1:4" x14ac:dyDescent="0.25">
      <c r="A2185" t="s">
        <v>419</v>
      </c>
      <c r="B2185" t="s">
        <v>580</v>
      </c>
      <c r="C2185" s="2">
        <f>HYPERLINK("https://sao.dolgi.msk.ru/account/1404228081/", 1404228081)</f>
        <v>1404228081</v>
      </c>
      <c r="D2185">
        <v>8145.84</v>
      </c>
    </row>
    <row r="2186" spans="1:4" hidden="1" x14ac:dyDescent="0.25">
      <c r="A2186" t="s">
        <v>419</v>
      </c>
      <c r="B2186" t="s">
        <v>581</v>
      </c>
      <c r="C2186" s="2">
        <f>HYPERLINK("https://sao.dolgi.msk.ru/account/1404231838/", 1404231838)</f>
        <v>1404231838</v>
      </c>
      <c r="D2186">
        <v>-6743.2</v>
      </c>
    </row>
    <row r="2187" spans="1:4" hidden="1" x14ac:dyDescent="0.25">
      <c r="A2187" t="s">
        <v>419</v>
      </c>
      <c r="B2187" t="s">
        <v>582</v>
      </c>
      <c r="C2187" s="2">
        <f>HYPERLINK("https://sao.dolgi.msk.ru/account/1404234043/", 1404234043)</f>
        <v>1404234043</v>
      </c>
      <c r="D2187">
        <v>-2911.21</v>
      </c>
    </row>
    <row r="2188" spans="1:4" hidden="1" x14ac:dyDescent="0.25">
      <c r="A2188" t="s">
        <v>419</v>
      </c>
      <c r="B2188" t="s">
        <v>583</v>
      </c>
      <c r="C2188" s="2">
        <f>HYPERLINK("https://sao.dolgi.msk.ru/account/1404231846/", 1404231846)</f>
        <v>1404231846</v>
      </c>
      <c r="D2188">
        <v>-5454.22</v>
      </c>
    </row>
    <row r="2189" spans="1:4" hidden="1" x14ac:dyDescent="0.25">
      <c r="A2189" t="s">
        <v>419</v>
      </c>
      <c r="B2189" t="s">
        <v>584</v>
      </c>
      <c r="C2189" s="2">
        <f>HYPERLINK("https://sao.dolgi.msk.ru/account/1404230122/", 1404230122)</f>
        <v>1404230122</v>
      </c>
      <c r="D2189">
        <v>-6665.74</v>
      </c>
    </row>
    <row r="2190" spans="1:4" hidden="1" x14ac:dyDescent="0.25">
      <c r="A2190" t="s">
        <v>419</v>
      </c>
      <c r="B2190" t="s">
        <v>585</v>
      </c>
      <c r="C2190" s="2">
        <f>HYPERLINK("https://sao.dolgi.msk.ru/account/1404230974/", 1404230974)</f>
        <v>1404230974</v>
      </c>
      <c r="D2190">
        <v>0</v>
      </c>
    </row>
    <row r="2191" spans="1:4" hidden="1" x14ac:dyDescent="0.25">
      <c r="A2191" t="s">
        <v>419</v>
      </c>
      <c r="B2191" t="s">
        <v>586</v>
      </c>
      <c r="C2191" s="2">
        <f>HYPERLINK("https://sao.dolgi.msk.ru/account/1404230982/", 1404230982)</f>
        <v>1404230982</v>
      </c>
      <c r="D2191">
        <v>-7446.17</v>
      </c>
    </row>
    <row r="2192" spans="1:4" hidden="1" x14ac:dyDescent="0.25">
      <c r="A2192" t="s">
        <v>419</v>
      </c>
      <c r="B2192" t="s">
        <v>587</v>
      </c>
      <c r="C2192" s="2">
        <f>HYPERLINK("https://sao.dolgi.msk.ru/account/1404228321/", 1404228321)</f>
        <v>1404228321</v>
      </c>
      <c r="D2192">
        <v>-6464.21</v>
      </c>
    </row>
    <row r="2193" spans="1:4" hidden="1" x14ac:dyDescent="0.25">
      <c r="A2193" t="s">
        <v>419</v>
      </c>
      <c r="B2193" t="s">
        <v>588</v>
      </c>
      <c r="C2193" s="2">
        <f>HYPERLINK("https://sao.dolgi.msk.ru/account/1404227441/", 1404227441)</f>
        <v>1404227441</v>
      </c>
      <c r="D2193">
        <v>-3156.9</v>
      </c>
    </row>
    <row r="2194" spans="1:4" hidden="1" x14ac:dyDescent="0.25">
      <c r="A2194" t="s">
        <v>419</v>
      </c>
      <c r="B2194" t="s">
        <v>589</v>
      </c>
      <c r="C2194" s="2">
        <f>HYPERLINK("https://sao.dolgi.msk.ru/account/1404234115/", 1404234115)</f>
        <v>1404234115</v>
      </c>
      <c r="D2194">
        <v>-5526.17</v>
      </c>
    </row>
    <row r="2195" spans="1:4" hidden="1" x14ac:dyDescent="0.25">
      <c r="A2195" t="s">
        <v>419</v>
      </c>
      <c r="B2195" t="s">
        <v>590</v>
      </c>
      <c r="C2195" s="2">
        <f>HYPERLINK("https://sao.dolgi.msk.ru/account/1404231619/", 1404231619)</f>
        <v>1404231619</v>
      </c>
      <c r="D2195">
        <v>-5824.55</v>
      </c>
    </row>
    <row r="2196" spans="1:4" hidden="1" x14ac:dyDescent="0.25">
      <c r="A2196" t="s">
        <v>419</v>
      </c>
      <c r="B2196" t="s">
        <v>591</v>
      </c>
      <c r="C2196" s="2">
        <f>HYPERLINK("https://sao.dolgi.msk.ru/account/1404229922/", 1404229922)</f>
        <v>1404229922</v>
      </c>
      <c r="D2196">
        <v>0</v>
      </c>
    </row>
    <row r="2197" spans="1:4" x14ac:dyDescent="0.25">
      <c r="A2197" t="s">
        <v>419</v>
      </c>
      <c r="B2197" t="s">
        <v>592</v>
      </c>
      <c r="C2197" s="2">
        <f>HYPERLINK("https://sao.dolgi.msk.ru/account/1404233761/", 1404233761)</f>
        <v>1404233761</v>
      </c>
      <c r="D2197">
        <v>1532.97</v>
      </c>
    </row>
    <row r="2198" spans="1:4" hidden="1" x14ac:dyDescent="0.25">
      <c r="A2198" t="s">
        <v>419</v>
      </c>
      <c r="B2198" t="s">
        <v>593</v>
      </c>
      <c r="C2198" s="2">
        <f>HYPERLINK("https://sao.dolgi.msk.ru/account/1404227433/", 1404227433)</f>
        <v>1404227433</v>
      </c>
      <c r="D2198">
        <v>-2650.06</v>
      </c>
    </row>
    <row r="2199" spans="1:4" hidden="1" x14ac:dyDescent="0.25">
      <c r="A2199" t="s">
        <v>419</v>
      </c>
      <c r="B2199" t="s">
        <v>593</v>
      </c>
      <c r="C2199" s="2">
        <f>HYPERLINK("https://sao.dolgi.msk.ru/account/1404227468/", 1404227468)</f>
        <v>1404227468</v>
      </c>
      <c r="D2199">
        <v>-1363.54</v>
      </c>
    </row>
    <row r="2200" spans="1:4" hidden="1" x14ac:dyDescent="0.25">
      <c r="A2200" t="s">
        <v>419</v>
      </c>
      <c r="B2200" t="s">
        <v>594</v>
      </c>
      <c r="C2200" s="2">
        <f>HYPERLINK("https://sao.dolgi.msk.ru/account/1404232988/", 1404232988)</f>
        <v>1404232988</v>
      </c>
      <c r="D2200">
        <v>0</v>
      </c>
    </row>
    <row r="2201" spans="1:4" hidden="1" x14ac:dyDescent="0.25">
      <c r="A2201" t="s">
        <v>419</v>
      </c>
      <c r="B2201" t="s">
        <v>595</v>
      </c>
      <c r="C2201" s="2">
        <f>HYPERLINK("https://sao.dolgi.msk.ru/account/1404231889/", 1404231889)</f>
        <v>1404231889</v>
      </c>
      <c r="D2201">
        <v>0</v>
      </c>
    </row>
    <row r="2202" spans="1:4" x14ac:dyDescent="0.25">
      <c r="A2202" t="s">
        <v>419</v>
      </c>
      <c r="B2202" t="s">
        <v>596</v>
      </c>
      <c r="C2202" s="2">
        <f>HYPERLINK("https://sao.dolgi.msk.ru/account/1404234107/", 1404234107)</f>
        <v>1404234107</v>
      </c>
      <c r="D2202">
        <v>22178.06</v>
      </c>
    </row>
    <row r="2203" spans="1:4" hidden="1" x14ac:dyDescent="0.25">
      <c r="A2203" t="s">
        <v>419</v>
      </c>
      <c r="B2203" t="s">
        <v>597</v>
      </c>
      <c r="C2203" s="2">
        <f>HYPERLINK("https://sao.dolgi.msk.ru/account/1404231862/", 1404231862)</f>
        <v>1404231862</v>
      </c>
      <c r="D2203">
        <v>-6695.55</v>
      </c>
    </row>
    <row r="2204" spans="1:4" hidden="1" x14ac:dyDescent="0.25">
      <c r="A2204" t="s">
        <v>419</v>
      </c>
      <c r="B2204" t="s">
        <v>598</v>
      </c>
      <c r="C2204" s="2">
        <f>HYPERLINK("https://sao.dolgi.msk.ru/account/1404229252/", 1404229252)</f>
        <v>1404229252</v>
      </c>
      <c r="D2204">
        <v>-5204.09</v>
      </c>
    </row>
    <row r="2205" spans="1:4" hidden="1" x14ac:dyDescent="0.25">
      <c r="A2205" t="s">
        <v>419</v>
      </c>
      <c r="B2205" t="s">
        <v>599</v>
      </c>
      <c r="C2205" s="2">
        <f>HYPERLINK("https://sao.dolgi.msk.ru/account/1404231109/", 1404231109)</f>
        <v>1404231109</v>
      </c>
      <c r="D2205">
        <v>-6251.51</v>
      </c>
    </row>
    <row r="2206" spans="1:4" hidden="1" x14ac:dyDescent="0.25">
      <c r="A2206" t="s">
        <v>419</v>
      </c>
      <c r="B2206" t="s">
        <v>600</v>
      </c>
      <c r="C2206" s="2">
        <f>HYPERLINK("https://sao.dolgi.msk.ru/account/1404227476/", 1404227476)</f>
        <v>1404227476</v>
      </c>
      <c r="D2206">
        <v>-4513.5200000000004</v>
      </c>
    </row>
    <row r="2207" spans="1:4" x14ac:dyDescent="0.25">
      <c r="A2207" t="s">
        <v>419</v>
      </c>
      <c r="B2207" t="s">
        <v>601</v>
      </c>
      <c r="C2207" s="2">
        <f>HYPERLINK("https://sao.dolgi.msk.ru/account/1404229295/", 1404229295)</f>
        <v>1404229295</v>
      </c>
      <c r="D2207">
        <v>20402.349999999999</v>
      </c>
    </row>
    <row r="2208" spans="1:4" x14ac:dyDescent="0.25">
      <c r="A2208" t="s">
        <v>419</v>
      </c>
      <c r="B2208" t="s">
        <v>602</v>
      </c>
      <c r="C2208" s="2">
        <f>HYPERLINK("https://sao.dolgi.msk.ru/account/1404230165/", 1404230165)</f>
        <v>1404230165</v>
      </c>
      <c r="D2208">
        <v>8173.6</v>
      </c>
    </row>
    <row r="2209" spans="1:4" hidden="1" x14ac:dyDescent="0.25">
      <c r="A2209" t="s">
        <v>419</v>
      </c>
      <c r="B2209" t="s">
        <v>603</v>
      </c>
      <c r="C2209" s="2">
        <f>HYPERLINK("https://sao.dolgi.msk.ru/account/1404234166/", 1404234166)</f>
        <v>1404234166</v>
      </c>
      <c r="D2209">
        <v>-4552.53</v>
      </c>
    </row>
    <row r="2210" spans="1:4" x14ac:dyDescent="0.25">
      <c r="A2210" t="s">
        <v>419</v>
      </c>
      <c r="B2210" t="s">
        <v>604</v>
      </c>
      <c r="C2210" s="2">
        <f>HYPERLINK("https://sao.dolgi.msk.ru/account/1404228428/", 1404228428)</f>
        <v>1404228428</v>
      </c>
      <c r="D2210">
        <v>14667.18</v>
      </c>
    </row>
    <row r="2211" spans="1:4" hidden="1" x14ac:dyDescent="0.25">
      <c r="A2211" t="s">
        <v>419</v>
      </c>
      <c r="B2211" t="s">
        <v>605</v>
      </c>
      <c r="C2211" s="2">
        <f>HYPERLINK("https://sao.dolgi.msk.ru/account/1404234174/", 1404234174)</f>
        <v>1404234174</v>
      </c>
      <c r="D2211">
        <v>-7066.56</v>
      </c>
    </row>
    <row r="2212" spans="1:4" hidden="1" x14ac:dyDescent="0.25">
      <c r="A2212" t="s">
        <v>419</v>
      </c>
      <c r="B2212" t="s">
        <v>606</v>
      </c>
      <c r="C2212" s="2">
        <f>HYPERLINK("https://sao.dolgi.msk.ru/account/1404230173/", 1404230173)</f>
        <v>1404230173</v>
      </c>
      <c r="D2212">
        <v>0</v>
      </c>
    </row>
    <row r="2213" spans="1:4" hidden="1" x14ac:dyDescent="0.25">
      <c r="A2213" t="s">
        <v>419</v>
      </c>
      <c r="B2213" t="s">
        <v>607</v>
      </c>
      <c r="C2213" s="2">
        <f>HYPERLINK("https://sao.dolgi.msk.ru/account/1404231977/", 1404231977)</f>
        <v>1404231977</v>
      </c>
      <c r="D2213">
        <v>0</v>
      </c>
    </row>
    <row r="2214" spans="1:4" x14ac:dyDescent="0.25">
      <c r="A2214" t="s">
        <v>419</v>
      </c>
      <c r="B2214" t="s">
        <v>608</v>
      </c>
      <c r="C2214" s="2">
        <f>HYPERLINK("https://sao.dolgi.msk.ru/account/1404233059/", 1404233059)</f>
        <v>1404233059</v>
      </c>
      <c r="D2214">
        <v>3427.47</v>
      </c>
    </row>
    <row r="2215" spans="1:4" hidden="1" x14ac:dyDescent="0.25">
      <c r="A2215" t="s">
        <v>419</v>
      </c>
      <c r="B2215" t="s">
        <v>609</v>
      </c>
      <c r="C2215" s="2">
        <f>HYPERLINK("https://sao.dolgi.msk.ru/account/1404230181/", 1404230181)</f>
        <v>1404230181</v>
      </c>
      <c r="D2215">
        <v>0</v>
      </c>
    </row>
    <row r="2216" spans="1:4" hidden="1" x14ac:dyDescent="0.25">
      <c r="A2216" t="s">
        <v>419</v>
      </c>
      <c r="B2216" t="s">
        <v>610</v>
      </c>
      <c r="C2216" s="2">
        <f>HYPERLINK("https://sao.dolgi.msk.ru/account/1404229308/", 1404229308)</f>
        <v>1404229308</v>
      </c>
      <c r="D2216">
        <v>-5773.55</v>
      </c>
    </row>
    <row r="2217" spans="1:4" hidden="1" x14ac:dyDescent="0.25">
      <c r="A2217" t="s">
        <v>419</v>
      </c>
      <c r="B2217" t="s">
        <v>611</v>
      </c>
      <c r="C2217" s="2">
        <f>HYPERLINK("https://sao.dolgi.msk.ru/account/1404227513/", 1404227513)</f>
        <v>1404227513</v>
      </c>
      <c r="D2217">
        <v>0</v>
      </c>
    </row>
    <row r="2218" spans="1:4" hidden="1" x14ac:dyDescent="0.25">
      <c r="A2218" t="s">
        <v>419</v>
      </c>
      <c r="B2218" t="s">
        <v>612</v>
      </c>
      <c r="C2218" s="2">
        <f>HYPERLINK("https://sao.dolgi.msk.ru/account/1404231985/", 1404231985)</f>
        <v>1404231985</v>
      </c>
      <c r="D2218">
        <v>0</v>
      </c>
    </row>
    <row r="2219" spans="1:4" hidden="1" x14ac:dyDescent="0.25">
      <c r="A2219" t="s">
        <v>419</v>
      </c>
      <c r="B2219" t="s">
        <v>613</v>
      </c>
      <c r="C2219" s="2">
        <f>HYPERLINK("https://sao.dolgi.msk.ru/account/1404231993/", 1404231993)</f>
        <v>1404231993</v>
      </c>
      <c r="D2219">
        <v>-5201.5</v>
      </c>
    </row>
    <row r="2220" spans="1:4" hidden="1" x14ac:dyDescent="0.25">
      <c r="A2220" t="s">
        <v>419</v>
      </c>
      <c r="B2220" t="s">
        <v>614</v>
      </c>
      <c r="C2220" s="2">
        <f>HYPERLINK("https://sao.dolgi.msk.ru/account/1404233243/", 1404233243)</f>
        <v>1404233243</v>
      </c>
      <c r="D2220">
        <v>-6948.56</v>
      </c>
    </row>
    <row r="2221" spans="1:4" hidden="1" x14ac:dyDescent="0.25">
      <c r="A2221" t="s">
        <v>419</v>
      </c>
      <c r="B2221" t="s">
        <v>615</v>
      </c>
      <c r="C2221" s="2">
        <f>HYPERLINK("https://sao.dolgi.msk.ru/account/1404233067/", 1404233067)</f>
        <v>1404233067</v>
      </c>
      <c r="D2221">
        <v>0</v>
      </c>
    </row>
    <row r="2222" spans="1:4" hidden="1" x14ac:dyDescent="0.25">
      <c r="A2222" t="s">
        <v>419</v>
      </c>
      <c r="B2222" t="s">
        <v>616</v>
      </c>
      <c r="C2222" s="2">
        <f>HYPERLINK("https://sao.dolgi.msk.ru/account/1404229316/", 1404229316)</f>
        <v>1404229316</v>
      </c>
      <c r="D2222">
        <v>-7472.93</v>
      </c>
    </row>
    <row r="2223" spans="1:4" hidden="1" x14ac:dyDescent="0.25">
      <c r="A2223" t="s">
        <v>419</v>
      </c>
      <c r="B2223" t="s">
        <v>617</v>
      </c>
      <c r="C2223" s="2">
        <f>HYPERLINK("https://sao.dolgi.msk.ru/account/1404232953/", 1404232953)</f>
        <v>1404232953</v>
      </c>
      <c r="D2223">
        <v>0</v>
      </c>
    </row>
    <row r="2224" spans="1:4" x14ac:dyDescent="0.25">
      <c r="A2224" t="s">
        <v>419</v>
      </c>
      <c r="B2224" t="s">
        <v>618</v>
      </c>
      <c r="C2224" s="2">
        <f>HYPERLINK("https://sao.dolgi.msk.ru/account/1404231061/", 1404231061)</f>
        <v>1404231061</v>
      </c>
      <c r="D2224">
        <v>38440.19</v>
      </c>
    </row>
    <row r="2225" spans="1:4" hidden="1" x14ac:dyDescent="0.25">
      <c r="A2225" t="s">
        <v>419</v>
      </c>
      <c r="B2225" t="s">
        <v>619</v>
      </c>
      <c r="C2225" s="2">
        <f>HYPERLINK("https://sao.dolgi.msk.ru/account/1404234182/", 1404234182)</f>
        <v>1404234182</v>
      </c>
      <c r="D2225">
        <v>-4271.59</v>
      </c>
    </row>
    <row r="2226" spans="1:4" x14ac:dyDescent="0.25">
      <c r="A2226" t="s">
        <v>419</v>
      </c>
      <c r="B2226" t="s">
        <v>620</v>
      </c>
      <c r="C2226" s="2">
        <f>HYPERLINK("https://sao.dolgi.msk.ru/account/1404233788/", 1404233788)</f>
        <v>1404233788</v>
      </c>
      <c r="D2226">
        <v>13907.18</v>
      </c>
    </row>
    <row r="2227" spans="1:4" hidden="1" x14ac:dyDescent="0.25">
      <c r="A2227" t="s">
        <v>419</v>
      </c>
      <c r="B2227" t="s">
        <v>621</v>
      </c>
      <c r="C2227" s="2">
        <f>HYPERLINK("https://sao.dolgi.msk.ru/account/1404294142/", 1404294142)</f>
        <v>1404294142</v>
      </c>
      <c r="D2227">
        <v>0</v>
      </c>
    </row>
    <row r="2228" spans="1:4" hidden="1" x14ac:dyDescent="0.25">
      <c r="A2228" t="s">
        <v>419</v>
      </c>
      <c r="B2228" t="s">
        <v>622</v>
      </c>
      <c r="C2228" s="2">
        <f>HYPERLINK("https://sao.dolgi.msk.ru/account/1404229017/", 1404229017)</f>
        <v>1404229017</v>
      </c>
      <c r="D2228">
        <v>0</v>
      </c>
    </row>
    <row r="2229" spans="1:4" x14ac:dyDescent="0.25">
      <c r="A2229" t="s">
        <v>419</v>
      </c>
      <c r="B2229" t="s">
        <v>623</v>
      </c>
      <c r="C2229" s="2">
        <f>HYPERLINK("https://sao.dolgi.msk.ru/account/1404230747/", 1404230747)</f>
        <v>1404230747</v>
      </c>
      <c r="D2229">
        <v>13127.05</v>
      </c>
    </row>
    <row r="2230" spans="1:4" x14ac:dyDescent="0.25">
      <c r="A2230" t="s">
        <v>419</v>
      </c>
      <c r="B2230" t="s">
        <v>624</v>
      </c>
      <c r="C2230" s="2">
        <f>HYPERLINK("https://sao.dolgi.msk.ru/account/1404230712/", 1404230712)</f>
        <v>1404230712</v>
      </c>
      <c r="D2230">
        <v>32877.9</v>
      </c>
    </row>
    <row r="2231" spans="1:4" x14ac:dyDescent="0.25">
      <c r="A2231" t="s">
        <v>419</v>
      </c>
      <c r="B2231" t="s">
        <v>624</v>
      </c>
      <c r="C2231" s="2">
        <f>HYPERLINK("https://sao.dolgi.msk.ru/account/1404231897/", 1404231897)</f>
        <v>1404231897</v>
      </c>
      <c r="D2231">
        <v>15840.85</v>
      </c>
    </row>
    <row r="2232" spans="1:4" hidden="1" x14ac:dyDescent="0.25">
      <c r="A2232" t="s">
        <v>419</v>
      </c>
      <c r="B2232" t="s">
        <v>625</v>
      </c>
      <c r="C2232" s="2">
        <f>HYPERLINK("https://sao.dolgi.msk.ru/account/1404230739/", 1404230739)</f>
        <v>1404230739</v>
      </c>
      <c r="D2232">
        <v>0</v>
      </c>
    </row>
    <row r="2233" spans="1:4" x14ac:dyDescent="0.25">
      <c r="A2233" t="s">
        <v>419</v>
      </c>
      <c r="B2233" t="s">
        <v>626</v>
      </c>
      <c r="C2233" s="2">
        <f>HYPERLINK("https://sao.dolgi.msk.ru/account/1404232603/", 1404232603)</f>
        <v>1404232603</v>
      </c>
      <c r="D2233">
        <v>7236.72</v>
      </c>
    </row>
    <row r="2234" spans="1:4" x14ac:dyDescent="0.25">
      <c r="A2234" t="s">
        <v>419</v>
      </c>
      <c r="B2234" t="s">
        <v>627</v>
      </c>
      <c r="C2234" s="2">
        <f>HYPERLINK("https://sao.dolgi.msk.ru/account/1404233796/", 1404233796)</f>
        <v>1404233796</v>
      </c>
      <c r="D2234">
        <v>8152.01</v>
      </c>
    </row>
    <row r="2235" spans="1:4" hidden="1" x14ac:dyDescent="0.25">
      <c r="A2235" t="s">
        <v>419</v>
      </c>
      <c r="B2235" t="s">
        <v>628</v>
      </c>
      <c r="C2235" s="2">
        <f>HYPERLINK("https://sao.dolgi.msk.ru/account/1404229279/", 1404229279)</f>
        <v>1404229279</v>
      </c>
      <c r="D2235">
        <v>-6952.28</v>
      </c>
    </row>
    <row r="2236" spans="1:4" hidden="1" x14ac:dyDescent="0.25">
      <c r="A2236" t="s">
        <v>419</v>
      </c>
      <c r="B2236" t="s">
        <v>629</v>
      </c>
      <c r="C2236" s="2">
        <f>HYPERLINK("https://sao.dolgi.msk.ru/account/1404232611/", 1404232611)</f>
        <v>1404232611</v>
      </c>
      <c r="D2236">
        <v>0</v>
      </c>
    </row>
    <row r="2237" spans="1:4" hidden="1" x14ac:dyDescent="0.25">
      <c r="A2237" t="s">
        <v>419</v>
      </c>
      <c r="B2237" t="s">
        <v>630</v>
      </c>
      <c r="C2237" s="2">
        <f>HYPERLINK("https://sao.dolgi.msk.ru/account/1404227249/", 1404227249)</f>
        <v>1404227249</v>
      </c>
      <c r="D2237">
        <v>-6602.14</v>
      </c>
    </row>
    <row r="2238" spans="1:4" hidden="1" x14ac:dyDescent="0.25">
      <c r="A2238" t="s">
        <v>419</v>
      </c>
      <c r="B2238" t="s">
        <v>631</v>
      </c>
      <c r="C2238" s="2">
        <f>HYPERLINK("https://sao.dolgi.msk.ru/account/1404232638/", 1404232638)</f>
        <v>1404232638</v>
      </c>
      <c r="D2238">
        <v>-6225.7</v>
      </c>
    </row>
    <row r="2239" spans="1:4" hidden="1" x14ac:dyDescent="0.25">
      <c r="A2239" t="s">
        <v>419</v>
      </c>
      <c r="B2239" t="s">
        <v>632</v>
      </c>
      <c r="C2239" s="2">
        <f>HYPERLINK("https://sao.dolgi.msk.ru/account/1404231627/", 1404231627)</f>
        <v>1404231627</v>
      </c>
      <c r="D2239">
        <v>-8955.23</v>
      </c>
    </row>
    <row r="2240" spans="1:4" hidden="1" x14ac:dyDescent="0.25">
      <c r="A2240" t="s">
        <v>419</v>
      </c>
      <c r="B2240" t="s">
        <v>633</v>
      </c>
      <c r="C2240" s="2">
        <f>HYPERLINK("https://sao.dolgi.msk.ru/account/1404233825/", 1404233825)</f>
        <v>1404233825</v>
      </c>
      <c r="D2240">
        <v>0</v>
      </c>
    </row>
    <row r="2241" spans="1:4" hidden="1" x14ac:dyDescent="0.25">
      <c r="A2241" t="s">
        <v>419</v>
      </c>
      <c r="B2241" t="s">
        <v>634</v>
      </c>
      <c r="C2241" s="2">
        <f>HYPERLINK("https://sao.dolgi.msk.ru/account/1404229025/", 1404229025)</f>
        <v>1404229025</v>
      </c>
      <c r="D2241">
        <v>-8672.4</v>
      </c>
    </row>
    <row r="2242" spans="1:4" x14ac:dyDescent="0.25">
      <c r="A2242" t="s">
        <v>419</v>
      </c>
      <c r="B2242" t="s">
        <v>635</v>
      </c>
      <c r="C2242" s="2">
        <f>HYPERLINK("https://sao.dolgi.msk.ru/account/1404226991/", 1404226991)</f>
        <v>1404226991</v>
      </c>
      <c r="D2242">
        <v>12713.6</v>
      </c>
    </row>
    <row r="2243" spans="1:4" hidden="1" x14ac:dyDescent="0.25">
      <c r="A2243" t="s">
        <v>419</v>
      </c>
      <c r="B2243" t="s">
        <v>636</v>
      </c>
      <c r="C2243" s="2">
        <f>HYPERLINK("https://sao.dolgi.msk.ru/account/1404233809/", 1404233809)</f>
        <v>1404233809</v>
      </c>
      <c r="D2243">
        <v>-7473.21</v>
      </c>
    </row>
    <row r="2244" spans="1:4" hidden="1" x14ac:dyDescent="0.25">
      <c r="A2244" t="s">
        <v>419</v>
      </c>
      <c r="B2244" t="s">
        <v>637</v>
      </c>
      <c r="C2244" s="2">
        <f>HYPERLINK("https://sao.dolgi.msk.ru/account/1404227222/", 1404227222)</f>
        <v>1404227222</v>
      </c>
      <c r="D2244">
        <v>-8437.33</v>
      </c>
    </row>
    <row r="2245" spans="1:4" hidden="1" x14ac:dyDescent="0.25">
      <c r="A2245" t="s">
        <v>419</v>
      </c>
      <c r="B2245" t="s">
        <v>638</v>
      </c>
      <c r="C2245" s="2">
        <f>HYPERLINK("https://sao.dolgi.msk.ru/account/1404228129/", 1404228129)</f>
        <v>1404228129</v>
      </c>
      <c r="D2245">
        <v>-2658.86</v>
      </c>
    </row>
    <row r="2246" spans="1:4" hidden="1" x14ac:dyDescent="0.25">
      <c r="A2246" t="s">
        <v>419</v>
      </c>
      <c r="B2246" t="s">
        <v>639</v>
      </c>
      <c r="C2246" s="2">
        <f>HYPERLINK("https://sao.dolgi.msk.ru/account/1404232937/", 1404232937)</f>
        <v>1404232937</v>
      </c>
      <c r="D2246">
        <v>-6720.05</v>
      </c>
    </row>
    <row r="2247" spans="1:4" hidden="1" x14ac:dyDescent="0.25">
      <c r="A2247" t="s">
        <v>419</v>
      </c>
      <c r="B2247" t="s">
        <v>640</v>
      </c>
      <c r="C2247" s="2">
        <f>HYPERLINK("https://sao.dolgi.msk.ru/account/1404233817/", 1404233817)</f>
        <v>1404233817</v>
      </c>
      <c r="D2247">
        <v>-7586.25</v>
      </c>
    </row>
    <row r="2248" spans="1:4" x14ac:dyDescent="0.25">
      <c r="A2248" t="s">
        <v>641</v>
      </c>
      <c r="B2248" t="s">
        <v>5</v>
      </c>
      <c r="C2248" s="2">
        <f>HYPERLINK("https://sao.dolgi.msk.ru/account/1404235716/", 1404235716)</f>
        <v>1404235716</v>
      </c>
      <c r="D2248">
        <v>1284</v>
      </c>
    </row>
    <row r="2249" spans="1:4" x14ac:dyDescent="0.25">
      <c r="A2249" t="s">
        <v>641</v>
      </c>
      <c r="B2249" t="s">
        <v>6</v>
      </c>
      <c r="C2249" s="2">
        <f>HYPERLINK("https://sao.dolgi.msk.ru/account/1404234756/", 1404234756)</f>
        <v>1404234756</v>
      </c>
      <c r="D2249">
        <v>39294.15</v>
      </c>
    </row>
    <row r="2250" spans="1:4" hidden="1" x14ac:dyDescent="0.25">
      <c r="A2250" t="s">
        <v>641</v>
      </c>
      <c r="B2250" t="s">
        <v>7</v>
      </c>
      <c r="C2250" s="2">
        <f>HYPERLINK("https://sao.dolgi.msk.ru/account/1404235273/", 1404235273)</f>
        <v>1404235273</v>
      </c>
      <c r="D2250">
        <v>-5365.32</v>
      </c>
    </row>
    <row r="2251" spans="1:4" hidden="1" x14ac:dyDescent="0.25">
      <c r="A2251" t="s">
        <v>641</v>
      </c>
      <c r="B2251" t="s">
        <v>8</v>
      </c>
      <c r="C2251" s="2">
        <f>HYPERLINK("https://sao.dolgi.msk.ru/account/1404236188/", 1404236188)</f>
        <v>1404236188</v>
      </c>
      <c r="D2251">
        <v>-6950.47</v>
      </c>
    </row>
    <row r="2252" spans="1:4" hidden="1" x14ac:dyDescent="0.25">
      <c r="A2252" t="s">
        <v>641</v>
      </c>
      <c r="B2252" t="s">
        <v>9</v>
      </c>
      <c r="C2252" s="2">
        <f>HYPERLINK("https://sao.dolgi.msk.ru/account/1404235433/", 1404235433)</f>
        <v>1404235433</v>
      </c>
      <c r="D2252">
        <v>-2734.75</v>
      </c>
    </row>
    <row r="2253" spans="1:4" hidden="1" x14ac:dyDescent="0.25">
      <c r="A2253" t="s">
        <v>641</v>
      </c>
      <c r="B2253" t="s">
        <v>10</v>
      </c>
      <c r="C2253" s="2">
        <f>HYPERLINK("https://sao.dolgi.msk.ru/account/1404235839/", 1404235839)</f>
        <v>1404235839</v>
      </c>
      <c r="D2253">
        <v>-3484.98</v>
      </c>
    </row>
    <row r="2254" spans="1:4" hidden="1" x14ac:dyDescent="0.25">
      <c r="A2254" t="s">
        <v>641</v>
      </c>
      <c r="B2254" t="s">
        <v>11</v>
      </c>
      <c r="C2254" s="2">
        <f>HYPERLINK("https://sao.dolgi.msk.ru/account/1404235468/", 1404235468)</f>
        <v>1404235468</v>
      </c>
      <c r="D2254">
        <v>-5180.22</v>
      </c>
    </row>
    <row r="2255" spans="1:4" hidden="1" x14ac:dyDescent="0.25">
      <c r="A2255" t="s">
        <v>641</v>
      </c>
      <c r="B2255" t="s">
        <v>12</v>
      </c>
      <c r="C2255" s="2">
        <f>HYPERLINK("https://sao.dolgi.msk.ru/account/1404235898/", 1404235898)</f>
        <v>1404235898</v>
      </c>
      <c r="D2255">
        <v>0</v>
      </c>
    </row>
    <row r="2256" spans="1:4" hidden="1" x14ac:dyDescent="0.25">
      <c r="A2256" t="s">
        <v>641</v>
      </c>
      <c r="B2256" t="s">
        <v>13</v>
      </c>
      <c r="C2256" s="2">
        <f>HYPERLINK("https://sao.dolgi.msk.ru/account/1404235011/", 1404235011)</f>
        <v>1404235011</v>
      </c>
      <c r="D2256">
        <v>-5720.35</v>
      </c>
    </row>
    <row r="2257" spans="1:4" hidden="1" x14ac:dyDescent="0.25">
      <c r="A2257" t="s">
        <v>641</v>
      </c>
      <c r="B2257" t="s">
        <v>14</v>
      </c>
      <c r="C2257" s="2">
        <f>HYPERLINK("https://sao.dolgi.msk.ru/account/1404234721/", 1404234721)</f>
        <v>1404234721</v>
      </c>
      <c r="D2257">
        <v>-5460.35</v>
      </c>
    </row>
    <row r="2258" spans="1:4" hidden="1" x14ac:dyDescent="0.25">
      <c r="A2258" t="s">
        <v>641</v>
      </c>
      <c r="B2258" t="s">
        <v>15</v>
      </c>
      <c r="C2258" s="2">
        <f>HYPERLINK("https://sao.dolgi.msk.ru/account/1404234545/", 1404234545)</f>
        <v>1404234545</v>
      </c>
      <c r="D2258">
        <v>-6223.79</v>
      </c>
    </row>
    <row r="2259" spans="1:4" hidden="1" x14ac:dyDescent="0.25">
      <c r="A2259" t="s">
        <v>641</v>
      </c>
      <c r="B2259" t="s">
        <v>16</v>
      </c>
      <c r="C2259" s="2">
        <f>HYPERLINK("https://sao.dolgi.msk.ru/account/1404235564/", 1404235564)</f>
        <v>1404235564</v>
      </c>
      <c r="D2259">
        <v>0</v>
      </c>
    </row>
    <row r="2260" spans="1:4" hidden="1" x14ac:dyDescent="0.25">
      <c r="A2260" t="s">
        <v>641</v>
      </c>
      <c r="B2260" t="s">
        <v>16</v>
      </c>
      <c r="C2260" s="2">
        <f>HYPERLINK("https://sao.dolgi.msk.ru/account/1404236081/", 1404236081)</f>
        <v>1404236081</v>
      </c>
      <c r="D2260">
        <v>-1967.24</v>
      </c>
    </row>
    <row r="2261" spans="1:4" hidden="1" x14ac:dyDescent="0.25">
      <c r="A2261" t="s">
        <v>641</v>
      </c>
      <c r="B2261" t="s">
        <v>17</v>
      </c>
      <c r="C2261" s="2">
        <f>HYPERLINK("https://sao.dolgi.msk.ru/account/1404235193/", 1404235193)</f>
        <v>1404235193</v>
      </c>
      <c r="D2261">
        <v>-0.22</v>
      </c>
    </row>
    <row r="2262" spans="1:4" hidden="1" x14ac:dyDescent="0.25">
      <c r="A2262" t="s">
        <v>641</v>
      </c>
      <c r="B2262" t="s">
        <v>18</v>
      </c>
      <c r="C2262" s="2">
        <f>HYPERLINK("https://sao.dolgi.msk.ru/account/1404235708/", 1404235708)</f>
        <v>1404235708</v>
      </c>
      <c r="D2262">
        <v>-4839.04</v>
      </c>
    </row>
    <row r="2263" spans="1:4" hidden="1" x14ac:dyDescent="0.25">
      <c r="A2263" t="s">
        <v>641</v>
      </c>
      <c r="B2263" t="s">
        <v>19</v>
      </c>
      <c r="C2263" s="2">
        <f>HYPERLINK("https://sao.dolgi.msk.ru/account/1404235871/", 1404235871)</f>
        <v>1404235871</v>
      </c>
      <c r="D2263">
        <v>-5291.76</v>
      </c>
    </row>
    <row r="2264" spans="1:4" x14ac:dyDescent="0.25">
      <c r="A2264" t="s">
        <v>641</v>
      </c>
      <c r="B2264" t="s">
        <v>20</v>
      </c>
      <c r="C2264" s="2">
        <f>HYPERLINK("https://sao.dolgi.msk.ru/account/1404234959/", 1404234959)</f>
        <v>1404234959</v>
      </c>
      <c r="D2264">
        <v>19431.11</v>
      </c>
    </row>
    <row r="2265" spans="1:4" x14ac:dyDescent="0.25">
      <c r="A2265" t="s">
        <v>641</v>
      </c>
      <c r="B2265" t="s">
        <v>21</v>
      </c>
      <c r="C2265" s="2">
        <f>HYPERLINK("https://sao.dolgi.msk.ru/account/1404234967/", 1404234967)</f>
        <v>1404234967</v>
      </c>
      <c r="D2265">
        <v>24193.599999999999</v>
      </c>
    </row>
    <row r="2266" spans="1:4" hidden="1" x14ac:dyDescent="0.25">
      <c r="A2266" t="s">
        <v>641</v>
      </c>
      <c r="B2266" t="s">
        <v>22</v>
      </c>
      <c r="C2266" s="2">
        <f>HYPERLINK("https://sao.dolgi.msk.ru/account/1404234975/", 1404234975)</f>
        <v>1404234975</v>
      </c>
      <c r="D2266">
        <v>-5321.39</v>
      </c>
    </row>
    <row r="2267" spans="1:4" hidden="1" x14ac:dyDescent="0.25">
      <c r="A2267" t="s">
        <v>641</v>
      </c>
      <c r="B2267" t="s">
        <v>23</v>
      </c>
      <c r="C2267" s="2">
        <f>HYPERLINK("https://sao.dolgi.msk.ru/account/1404235214/", 1404235214)</f>
        <v>1404235214</v>
      </c>
      <c r="D2267">
        <v>-8730.59</v>
      </c>
    </row>
    <row r="2268" spans="1:4" hidden="1" x14ac:dyDescent="0.25">
      <c r="A2268" t="s">
        <v>641</v>
      </c>
      <c r="B2268" t="s">
        <v>24</v>
      </c>
      <c r="C2268" s="2">
        <f>HYPERLINK("https://sao.dolgi.msk.ru/account/1404236022/", 1404236022)</f>
        <v>1404236022</v>
      </c>
      <c r="D2268">
        <v>0</v>
      </c>
    </row>
    <row r="2269" spans="1:4" hidden="1" x14ac:dyDescent="0.25">
      <c r="A2269" t="s">
        <v>641</v>
      </c>
      <c r="B2269" t="s">
        <v>25</v>
      </c>
      <c r="C2269" s="2">
        <f>HYPERLINK("https://sao.dolgi.msk.ru/account/1404234764/", 1404234764)</f>
        <v>1404234764</v>
      </c>
      <c r="D2269">
        <v>-2253.06</v>
      </c>
    </row>
    <row r="2270" spans="1:4" x14ac:dyDescent="0.25">
      <c r="A2270" t="s">
        <v>641</v>
      </c>
      <c r="B2270" t="s">
        <v>26</v>
      </c>
      <c r="C2270" s="2">
        <f>HYPERLINK("https://sao.dolgi.msk.ru/account/1404234772/", 1404234772)</f>
        <v>1404234772</v>
      </c>
      <c r="D2270">
        <v>22424.68</v>
      </c>
    </row>
    <row r="2271" spans="1:4" x14ac:dyDescent="0.25">
      <c r="A2271" t="s">
        <v>641</v>
      </c>
      <c r="B2271" t="s">
        <v>27</v>
      </c>
      <c r="C2271" s="2">
        <f>HYPERLINK("https://sao.dolgi.msk.ru/account/1404235257/", 1404235257)</f>
        <v>1404235257</v>
      </c>
      <c r="D2271">
        <v>415.6</v>
      </c>
    </row>
    <row r="2272" spans="1:4" hidden="1" x14ac:dyDescent="0.25">
      <c r="A2272" t="s">
        <v>641</v>
      </c>
      <c r="B2272" t="s">
        <v>28</v>
      </c>
      <c r="C2272" s="2">
        <f>HYPERLINK("https://sao.dolgi.msk.ru/account/1404235732/", 1404235732)</f>
        <v>1404235732</v>
      </c>
      <c r="D2272">
        <v>0</v>
      </c>
    </row>
    <row r="2273" spans="1:4" hidden="1" x14ac:dyDescent="0.25">
      <c r="A2273" t="s">
        <v>641</v>
      </c>
      <c r="B2273" t="s">
        <v>29</v>
      </c>
      <c r="C2273" s="2">
        <f>HYPERLINK("https://sao.dolgi.msk.ru/account/1404235943/", 1404235943)</f>
        <v>1404235943</v>
      </c>
      <c r="D2273">
        <v>-946.49</v>
      </c>
    </row>
    <row r="2274" spans="1:4" hidden="1" x14ac:dyDescent="0.25">
      <c r="A2274" t="s">
        <v>641</v>
      </c>
      <c r="B2274" t="s">
        <v>30</v>
      </c>
      <c r="C2274" s="2">
        <f>HYPERLINK("https://sao.dolgi.msk.ru/account/1404235396/", 1404235396)</f>
        <v>1404235396</v>
      </c>
      <c r="D2274">
        <v>-5699.3</v>
      </c>
    </row>
    <row r="2275" spans="1:4" hidden="1" x14ac:dyDescent="0.25">
      <c r="A2275" t="s">
        <v>641</v>
      </c>
      <c r="B2275" t="s">
        <v>31</v>
      </c>
      <c r="C2275" s="2">
        <f>HYPERLINK("https://sao.dolgi.msk.ru/account/1404235265/", 1404235265)</f>
        <v>1404235265</v>
      </c>
      <c r="D2275">
        <v>0</v>
      </c>
    </row>
    <row r="2276" spans="1:4" hidden="1" x14ac:dyDescent="0.25">
      <c r="A2276" t="s">
        <v>641</v>
      </c>
      <c r="B2276" t="s">
        <v>32</v>
      </c>
      <c r="C2276" s="2">
        <f>HYPERLINK("https://sao.dolgi.msk.ru/account/1404235759/", 1404235759)</f>
        <v>1404235759</v>
      </c>
      <c r="D2276">
        <v>0</v>
      </c>
    </row>
    <row r="2277" spans="1:4" x14ac:dyDescent="0.25">
      <c r="A2277" t="s">
        <v>641</v>
      </c>
      <c r="B2277" t="s">
        <v>33</v>
      </c>
      <c r="C2277" s="2">
        <f>HYPERLINK("https://sao.dolgi.msk.ru/account/1404234799/", 1404234799)</f>
        <v>1404234799</v>
      </c>
      <c r="D2277">
        <v>6918.57</v>
      </c>
    </row>
    <row r="2278" spans="1:4" hidden="1" x14ac:dyDescent="0.25">
      <c r="A2278" t="s">
        <v>641</v>
      </c>
      <c r="B2278" t="s">
        <v>34</v>
      </c>
      <c r="C2278" s="2">
        <f>HYPERLINK("https://sao.dolgi.msk.ru/account/1404235951/", 1404235951)</f>
        <v>1404235951</v>
      </c>
      <c r="D2278">
        <v>0</v>
      </c>
    </row>
    <row r="2279" spans="1:4" hidden="1" x14ac:dyDescent="0.25">
      <c r="A2279" t="s">
        <v>641</v>
      </c>
      <c r="B2279" t="s">
        <v>35</v>
      </c>
      <c r="C2279" s="2">
        <f>HYPERLINK("https://sao.dolgi.msk.ru/account/1404235978/", 1404235978)</f>
        <v>1404235978</v>
      </c>
      <c r="D2279">
        <v>-4340.95</v>
      </c>
    </row>
    <row r="2280" spans="1:4" hidden="1" x14ac:dyDescent="0.25">
      <c r="A2280" t="s">
        <v>641</v>
      </c>
      <c r="B2280" t="s">
        <v>36</v>
      </c>
      <c r="C2280" s="2">
        <f>HYPERLINK("https://sao.dolgi.msk.ru/account/1404235767/", 1404235767)</f>
        <v>1404235767</v>
      </c>
      <c r="D2280">
        <v>0</v>
      </c>
    </row>
    <row r="2281" spans="1:4" hidden="1" x14ac:dyDescent="0.25">
      <c r="A2281" t="s">
        <v>641</v>
      </c>
      <c r="B2281" t="s">
        <v>37</v>
      </c>
      <c r="C2281" s="2">
        <f>HYPERLINK("https://sao.dolgi.msk.ru/account/1404236161/", 1404236161)</f>
        <v>1404236161</v>
      </c>
      <c r="D2281">
        <v>-6534.1</v>
      </c>
    </row>
    <row r="2282" spans="1:4" hidden="1" x14ac:dyDescent="0.25">
      <c r="A2282" t="s">
        <v>641</v>
      </c>
      <c r="B2282" t="s">
        <v>38</v>
      </c>
      <c r="C2282" s="2">
        <f>HYPERLINK("https://sao.dolgi.msk.ru/account/1404235409/", 1404235409)</f>
        <v>1404235409</v>
      </c>
      <c r="D2282">
        <v>-2788.3</v>
      </c>
    </row>
    <row r="2283" spans="1:4" hidden="1" x14ac:dyDescent="0.25">
      <c r="A2283" t="s">
        <v>641</v>
      </c>
      <c r="B2283" t="s">
        <v>39</v>
      </c>
      <c r="C2283" s="2">
        <f>HYPERLINK("https://sao.dolgi.msk.ru/account/1404235775/", 1404235775)</f>
        <v>1404235775</v>
      </c>
      <c r="D2283">
        <v>-4493.78</v>
      </c>
    </row>
    <row r="2284" spans="1:4" hidden="1" x14ac:dyDescent="0.25">
      <c r="A2284" t="s">
        <v>641</v>
      </c>
      <c r="B2284" t="s">
        <v>40</v>
      </c>
      <c r="C2284" s="2">
        <f>HYPERLINK("https://sao.dolgi.msk.ru/account/1404235783/", 1404235783)</f>
        <v>1404235783</v>
      </c>
      <c r="D2284">
        <v>-1613.88</v>
      </c>
    </row>
    <row r="2285" spans="1:4" hidden="1" x14ac:dyDescent="0.25">
      <c r="A2285" t="s">
        <v>641</v>
      </c>
      <c r="B2285" t="s">
        <v>41</v>
      </c>
      <c r="C2285" s="2">
        <f>HYPERLINK("https://sao.dolgi.msk.ru/account/1404235986/", 1404235986)</f>
        <v>1404235986</v>
      </c>
      <c r="D2285">
        <v>0</v>
      </c>
    </row>
    <row r="2286" spans="1:4" hidden="1" x14ac:dyDescent="0.25">
      <c r="A2286" t="s">
        <v>641</v>
      </c>
      <c r="B2286" t="s">
        <v>42</v>
      </c>
      <c r="C2286" s="2">
        <f>HYPERLINK("https://sao.dolgi.msk.ru/account/1404234836/", 1404234836)</f>
        <v>1404234836</v>
      </c>
      <c r="D2286">
        <v>-9530.56</v>
      </c>
    </row>
    <row r="2287" spans="1:4" hidden="1" x14ac:dyDescent="0.25">
      <c r="A2287" t="s">
        <v>641</v>
      </c>
      <c r="B2287" t="s">
        <v>43</v>
      </c>
      <c r="C2287" s="2">
        <f>HYPERLINK("https://sao.dolgi.msk.ru/account/1404235062/", 1404235062)</f>
        <v>1404235062</v>
      </c>
      <c r="D2287">
        <v>-6664.01</v>
      </c>
    </row>
    <row r="2288" spans="1:4" hidden="1" x14ac:dyDescent="0.25">
      <c r="A2288" t="s">
        <v>641</v>
      </c>
      <c r="B2288" t="s">
        <v>44</v>
      </c>
      <c r="C2288" s="2">
        <f>HYPERLINK("https://sao.dolgi.msk.ru/account/1404235994/", 1404235994)</f>
        <v>1404235994</v>
      </c>
      <c r="D2288">
        <v>-4186.09</v>
      </c>
    </row>
    <row r="2289" spans="1:4" hidden="1" x14ac:dyDescent="0.25">
      <c r="A2289" t="s">
        <v>641</v>
      </c>
      <c r="B2289" t="s">
        <v>45</v>
      </c>
      <c r="C2289" s="2">
        <f>HYPERLINK("https://sao.dolgi.msk.ru/account/1404236006/", 1404236006)</f>
        <v>1404236006</v>
      </c>
      <c r="D2289">
        <v>-4866.32</v>
      </c>
    </row>
    <row r="2290" spans="1:4" hidden="1" x14ac:dyDescent="0.25">
      <c r="A2290" t="s">
        <v>641</v>
      </c>
      <c r="B2290" t="s">
        <v>46</v>
      </c>
      <c r="C2290" s="2">
        <f>HYPERLINK("https://sao.dolgi.msk.ru/account/1404234844/", 1404234844)</f>
        <v>1404234844</v>
      </c>
      <c r="D2290">
        <v>0</v>
      </c>
    </row>
    <row r="2291" spans="1:4" x14ac:dyDescent="0.25">
      <c r="A2291" t="s">
        <v>641</v>
      </c>
      <c r="B2291" t="s">
        <v>47</v>
      </c>
      <c r="C2291" s="2">
        <f>HYPERLINK("https://sao.dolgi.msk.ru/account/1404235089/", 1404235089)</f>
        <v>1404235089</v>
      </c>
      <c r="D2291">
        <v>8215.86</v>
      </c>
    </row>
    <row r="2292" spans="1:4" hidden="1" x14ac:dyDescent="0.25">
      <c r="A2292" t="s">
        <v>641</v>
      </c>
      <c r="B2292" t="s">
        <v>48</v>
      </c>
      <c r="C2292" s="2">
        <f>HYPERLINK("https://sao.dolgi.msk.ru/account/1404234895/", 1404234895)</f>
        <v>1404234895</v>
      </c>
      <c r="D2292">
        <v>-6395.51</v>
      </c>
    </row>
    <row r="2293" spans="1:4" x14ac:dyDescent="0.25">
      <c r="A2293" t="s">
        <v>641</v>
      </c>
      <c r="B2293" t="s">
        <v>49</v>
      </c>
      <c r="C2293" s="2">
        <f>HYPERLINK("https://sao.dolgi.msk.ru/account/1404236196/", 1404236196)</f>
        <v>1404236196</v>
      </c>
      <c r="D2293">
        <v>9924.9599999999991</v>
      </c>
    </row>
    <row r="2294" spans="1:4" hidden="1" x14ac:dyDescent="0.25">
      <c r="A2294" t="s">
        <v>641</v>
      </c>
      <c r="B2294" t="s">
        <v>50</v>
      </c>
      <c r="C2294" s="2">
        <f>HYPERLINK("https://sao.dolgi.msk.ru/account/1404235425/", 1404235425)</f>
        <v>1404235425</v>
      </c>
      <c r="D2294">
        <v>-4621.3900000000003</v>
      </c>
    </row>
    <row r="2295" spans="1:4" hidden="1" x14ac:dyDescent="0.25">
      <c r="A2295" t="s">
        <v>641</v>
      </c>
      <c r="B2295" t="s">
        <v>51</v>
      </c>
      <c r="C2295" s="2">
        <f>HYPERLINK("https://sao.dolgi.msk.ru/account/1404235791/", 1404235791)</f>
        <v>1404235791</v>
      </c>
      <c r="D2295">
        <v>0</v>
      </c>
    </row>
    <row r="2296" spans="1:4" hidden="1" x14ac:dyDescent="0.25">
      <c r="A2296" t="s">
        <v>641</v>
      </c>
      <c r="B2296" t="s">
        <v>52</v>
      </c>
      <c r="C2296" s="2">
        <f>HYPERLINK("https://sao.dolgi.msk.ru/account/1404236014/", 1404236014)</f>
        <v>1404236014</v>
      </c>
      <c r="D2296">
        <v>-6175.79</v>
      </c>
    </row>
    <row r="2297" spans="1:4" hidden="1" x14ac:dyDescent="0.25">
      <c r="A2297" t="s">
        <v>641</v>
      </c>
      <c r="B2297" t="s">
        <v>53</v>
      </c>
      <c r="C2297" s="2">
        <f>HYPERLINK("https://sao.dolgi.msk.ru/account/1404235572/", 1404235572)</f>
        <v>1404235572</v>
      </c>
      <c r="D2297">
        <v>-6365</v>
      </c>
    </row>
    <row r="2298" spans="1:4" hidden="1" x14ac:dyDescent="0.25">
      <c r="A2298" t="s">
        <v>641</v>
      </c>
      <c r="B2298" t="s">
        <v>54</v>
      </c>
      <c r="C2298" s="2">
        <f>HYPERLINK("https://sao.dolgi.msk.ru/account/1404234641/", 1404234641)</f>
        <v>1404234641</v>
      </c>
      <c r="D2298">
        <v>-3983.12</v>
      </c>
    </row>
    <row r="2299" spans="1:4" x14ac:dyDescent="0.25">
      <c r="A2299" t="s">
        <v>641</v>
      </c>
      <c r="B2299" t="s">
        <v>55</v>
      </c>
      <c r="C2299" s="2">
        <f>HYPERLINK("https://sao.dolgi.msk.ru/account/1404235134/", 1404235134)</f>
        <v>1404235134</v>
      </c>
      <c r="D2299">
        <v>10720.83</v>
      </c>
    </row>
    <row r="2300" spans="1:4" x14ac:dyDescent="0.25">
      <c r="A2300" t="s">
        <v>641</v>
      </c>
      <c r="B2300" t="s">
        <v>56</v>
      </c>
      <c r="C2300" s="2">
        <f>HYPERLINK("https://sao.dolgi.msk.ru/account/1404234924/", 1404234924)</f>
        <v>1404234924</v>
      </c>
      <c r="D2300">
        <v>17793.57</v>
      </c>
    </row>
    <row r="2301" spans="1:4" x14ac:dyDescent="0.25">
      <c r="A2301" t="s">
        <v>641</v>
      </c>
      <c r="B2301" t="s">
        <v>57</v>
      </c>
      <c r="C2301" s="2">
        <f>HYPERLINK("https://sao.dolgi.msk.ru/account/1404234668/", 1404234668)</f>
        <v>1404234668</v>
      </c>
      <c r="D2301">
        <v>4061.03</v>
      </c>
    </row>
    <row r="2302" spans="1:4" hidden="1" x14ac:dyDescent="0.25">
      <c r="A2302" t="s">
        <v>641</v>
      </c>
      <c r="B2302" t="s">
        <v>58</v>
      </c>
      <c r="C2302" s="2">
        <f>HYPERLINK("https://sao.dolgi.msk.ru/account/1404235353/", 1404235353)</f>
        <v>1404235353</v>
      </c>
      <c r="D2302">
        <v>-2199.81</v>
      </c>
    </row>
    <row r="2303" spans="1:4" x14ac:dyDescent="0.25">
      <c r="A2303" t="s">
        <v>641</v>
      </c>
      <c r="B2303" t="s">
        <v>59</v>
      </c>
      <c r="C2303" s="2">
        <f>HYPERLINK("https://sao.dolgi.msk.ru/account/1404234676/", 1404234676)</f>
        <v>1404234676</v>
      </c>
      <c r="D2303">
        <v>23793.98</v>
      </c>
    </row>
    <row r="2304" spans="1:4" hidden="1" x14ac:dyDescent="0.25">
      <c r="A2304" t="s">
        <v>641</v>
      </c>
      <c r="B2304" t="s">
        <v>60</v>
      </c>
      <c r="C2304" s="2">
        <f>HYPERLINK("https://sao.dolgi.msk.ru/account/1404235679/", 1404235679)</f>
        <v>1404235679</v>
      </c>
      <c r="D2304">
        <v>-6469.08</v>
      </c>
    </row>
    <row r="2305" spans="1:4" hidden="1" x14ac:dyDescent="0.25">
      <c r="A2305" t="s">
        <v>641</v>
      </c>
      <c r="B2305" t="s">
        <v>61</v>
      </c>
      <c r="C2305" s="2">
        <f>HYPERLINK("https://sao.dolgi.msk.ru/account/1404235687/", 1404235687)</f>
        <v>1404235687</v>
      </c>
      <c r="D2305">
        <v>-3522.48</v>
      </c>
    </row>
    <row r="2306" spans="1:4" hidden="1" x14ac:dyDescent="0.25">
      <c r="A2306" t="s">
        <v>641</v>
      </c>
      <c r="B2306" t="s">
        <v>62</v>
      </c>
      <c r="C2306" s="2">
        <f>HYPERLINK("https://sao.dolgi.msk.ru/account/1404235476/", 1404235476)</f>
        <v>1404235476</v>
      </c>
      <c r="D2306">
        <v>0</v>
      </c>
    </row>
    <row r="2307" spans="1:4" hidden="1" x14ac:dyDescent="0.25">
      <c r="A2307" t="s">
        <v>641</v>
      </c>
      <c r="B2307" t="s">
        <v>63</v>
      </c>
      <c r="C2307" s="2">
        <f>HYPERLINK("https://sao.dolgi.msk.ru/account/1404235484/", 1404235484)</f>
        <v>1404235484</v>
      </c>
      <c r="D2307">
        <v>-6496.31</v>
      </c>
    </row>
    <row r="2308" spans="1:4" x14ac:dyDescent="0.25">
      <c r="A2308" t="s">
        <v>641</v>
      </c>
      <c r="B2308" t="s">
        <v>64</v>
      </c>
      <c r="C2308" s="2">
        <f>HYPERLINK("https://sao.dolgi.msk.ru/account/1404236049/", 1404236049)</f>
        <v>1404236049</v>
      </c>
      <c r="D2308">
        <v>15787.26</v>
      </c>
    </row>
    <row r="2309" spans="1:4" hidden="1" x14ac:dyDescent="0.25">
      <c r="A2309" t="s">
        <v>641</v>
      </c>
      <c r="B2309" t="s">
        <v>65</v>
      </c>
      <c r="C2309" s="2">
        <f>HYPERLINK("https://sao.dolgi.msk.ru/account/1404236073/", 1404236073)</f>
        <v>1404236073</v>
      </c>
      <c r="D2309">
        <v>-3949.45</v>
      </c>
    </row>
    <row r="2310" spans="1:4" x14ac:dyDescent="0.25">
      <c r="A2310" t="s">
        <v>641</v>
      </c>
      <c r="B2310" t="s">
        <v>66</v>
      </c>
      <c r="C2310" s="2">
        <f>HYPERLINK("https://sao.dolgi.msk.ru/account/1404235847/", 1404235847)</f>
        <v>1404235847</v>
      </c>
      <c r="D2310">
        <v>56299.53</v>
      </c>
    </row>
    <row r="2311" spans="1:4" hidden="1" x14ac:dyDescent="0.25">
      <c r="A2311" t="s">
        <v>641</v>
      </c>
      <c r="B2311" t="s">
        <v>67</v>
      </c>
      <c r="C2311" s="2">
        <f>HYPERLINK("https://sao.dolgi.msk.ru/account/1404234852/", 1404234852)</f>
        <v>1404234852</v>
      </c>
      <c r="D2311">
        <v>0</v>
      </c>
    </row>
    <row r="2312" spans="1:4" hidden="1" x14ac:dyDescent="0.25">
      <c r="A2312" t="s">
        <v>641</v>
      </c>
      <c r="B2312" t="s">
        <v>68</v>
      </c>
      <c r="C2312" s="2">
        <f>HYPERLINK("https://sao.dolgi.msk.ru/account/1404234684/", 1404234684)</f>
        <v>1404234684</v>
      </c>
      <c r="D2312">
        <v>0</v>
      </c>
    </row>
    <row r="2313" spans="1:4" x14ac:dyDescent="0.25">
      <c r="A2313" t="s">
        <v>641</v>
      </c>
      <c r="B2313" t="s">
        <v>69</v>
      </c>
      <c r="C2313" s="2">
        <f>HYPERLINK("https://sao.dolgi.msk.ru/account/1404235142/", 1404235142)</f>
        <v>1404235142</v>
      </c>
      <c r="D2313">
        <v>31156.09</v>
      </c>
    </row>
    <row r="2314" spans="1:4" x14ac:dyDescent="0.25">
      <c r="A2314" t="s">
        <v>641</v>
      </c>
      <c r="B2314" t="s">
        <v>70</v>
      </c>
      <c r="C2314" s="2">
        <f>HYPERLINK("https://sao.dolgi.msk.ru/account/1404235361/", 1404235361)</f>
        <v>1404235361</v>
      </c>
      <c r="D2314">
        <v>922.65</v>
      </c>
    </row>
    <row r="2315" spans="1:4" hidden="1" x14ac:dyDescent="0.25">
      <c r="A2315" t="s">
        <v>641</v>
      </c>
      <c r="B2315" t="s">
        <v>71</v>
      </c>
      <c r="C2315" s="2">
        <f>HYPERLINK("https://sao.dolgi.msk.ru/account/1404235492/", 1404235492)</f>
        <v>1404235492</v>
      </c>
      <c r="D2315">
        <v>-6458.92</v>
      </c>
    </row>
    <row r="2316" spans="1:4" hidden="1" x14ac:dyDescent="0.25">
      <c r="A2316" t="s">
        <v>641</v>
      </c>
      <c r="B2316" t="s">
        <v>72</v>
      </c>
      <c r="C2316" s="2">
        <f>HYPERLINK("https://sao.dolgi.msk.ru/account/1404235345/", 1404235345)</f>
        <v>1404235345</v>
      </c>
      <c r="D2316">
        <v>-5419.2</v>
      </c>
    </row>
    <row r="2317" spans="1:4" hidden="1" x14ac:dyDescent="0.25">
      <c r="A2317" t="s">
        <v>641</v>
      </c>
      <c r="B2317" t="s">
        <v>73</v>
      </c>
      <c r="C2317" s="2">
        <f>HYPERLINK("https://sao.dolgi.msk.ru/account/1404234908/", 1404234908)</f>
        <v>1404234908</v>
      </c>
      <c r="D2317">
        <v>-3563.57</v>
      </c>
    </row>
    <row r="2318" spans="1:4" hidden="1" x14ac:dyDescent="0.25">
      <c r="A2318" t="s">
        <v>641</v>
      </c>
      <c r="B2318" t="s">
        <v>74</v>
      </c>
      <c r="C2318" s="2">
        <f>HYPERLINK("https://sao.dolgi.msk.ru/account/1404235118/", 1404235118)</f>
        <v>1404235118</v>
      </c>
      <c r="D2318">
        <v>-4278.75</v>
      </c>
    </row>
    <row r="2319" spans="1:4" hidden="1" x14ac:dyDescent="0.25">
      <c r="A2319" t="s">
        <v>641</v>
      </c>
      <c r="B2319" t="s">
        <v>75</v>
      </c>
      <c r="C2319" s="2">
        <f>HYPERLINK("https://sao.dolgi.msk.ru/account/1404234625/", 1404234625)</f>
        <v>1404234625</v>
      </c>
      <c r="D2319">
        <v>0</v>
      </c>
    </row>
    <row r="2320" spans="1:4" x14ac:dyDescent="0.25">
      <c r="A2320" t="s">
        <v>641</v>
      </c>
      <c r="B2320" t="s">
        <v>76</v>
      </c>
      <c r="C2320" s="2">
        <f>HYPERLINK("https://sao.dolgi.msk.ru/account/1404235652/", 1404235652)</f>
        <v>1404235652</v>
      </c>
      <c r="D2320">
        <v>13913.24</v>
      </c>
    </row>
    <row r="2321" spans="1:4" x14ac:dyDescent="0.25">
      <c r="A2321" t="s">
        <v>641</v>
      </c>
      <c r="B2321" t="s">
        <v>77</v>
      </c>
      <c r="C2321" s="2">
        <f>HYPERLINK("https://sao.dolgi.msk.ru/account/1404235126/", 1404235126)</f>
        <v>1404235126</v>
      </c>
      <c r="D2321">
        <v>118497.84</v>
      </c>
    </row>
    <row r="2322" spans="1:4" hidden="1" x14ac:dyDescent="0.25">
      <c r="A2322" t="s">
        <v>641</v>
      </c>
      <c r="B2322" t="s">
        <v>78</v>
      </c>
      <c r="C2322" s="2">
        <f>HYPERLINK("https://sao.dolgi.msk.ru/account/1404234633/", 1404234633)</f>
        <v>1404234633</v>
      </c>
      <c r="D2322">
        <v>0</v>
      </c>
    </row>
    <row r="2323" spans="1:4" hidden="1" x14ac:dyDescent="0.25">
      <c r="A2323" t="s">
        <v>641</v>
      </c>
      <c r="B2323" t="s">
        <v>79</v>
      </c>
      <c r="C2323" s="2">
        <f>HYPERLINK("https://sao.dolgi.msk.ru/account/1404234916/", 1404234916)</f>
        <v>1404234916</v>
      </c>
      <c r="D2323">
        <v>-20227.59</v>
      </c>
    </row>
    <row r="2324" spans="1:4" hidden="1" x14ac:dyDescent="0.25">
      <c r="A2324" t="s">
        <v>641</v>
      </c>
      <c r="B2324" t="s">
        <v>80</v>
      </c>
      <c r="C2324" s="2">
        <f>HYPERLINK("https://sao.dolgi.msk.ru/account/1404235601/", 1404235601)</f>
        <v>1404235601</v>
      </c>
      <c r="D2324">
        <v>-5412.29</v>
      </c>
    </row>
    <row r="2325" spans="1:4" hidden="1" x14ac:dyDescent="0.25">
      <c r="A2325" t="s">
        <v>641</v>
      </c>
      <c r="B2325" t="s">
        <v>81</v>
      </c>
      <c r="C2325" s="2">
        <f>HYPERLINK("https://sao.dolgi.msk.ru/account/1404236057/", 1404236057)</f>
        <v>1404236057</v>
      </c>
      <c r="D2325">
        <v>0</v>
      </c>
    </row>
    <row r="2326" spans="1:4" hidden="1" x14ac:dyDescent="0.25">
      <c r="A2326" t="s">
        <v>641</v>
      </c>
      <c r="B2326" t="s">
        <v>82</v>
      </c>
      <c r="C2326" s="2">
        <f>HYPERLINK("https://sao.dolgi.msk.ru/account/1404235628/", 1404235628)</f>
        <v>1404235628</v>
      </c>
      <c r="D2326">
        <v>-4846.3500000000004</v>
      </c>
    </row>
    <row r="2327" spans="1:4" hidden="1" x14ac:dyDescent="0.25">
      <c r="A2327" t="s">
        <v>641</v>
      </c>
      <c r="B2327" t="s">
        <v>83</v>
      </c>
      <c r="C2327" s="2">
        <f>HYPERLINK("https://sao.dolgi.msk.ru/account/1404235302/", 1404235302)</f>
        <v>1404235302</v>
      </c>
      <c r="D2327">
        <v>-6084.89</v>
      </c>
    </row>
    <row r="2328" spans="1:4" hidden="1" x14ac:dyDescent="0.25">
      <c r="A2328" t="s">
        <v>641</v>
      </c>
      <c r="B2328" t="s">
        <v>84</v>
      </c>
      <c r="C2328" s="2">
        <f>HYPERLINK("https://sao.dolgi.msk.ru/account/1404234748/", 1404234748)</f>
        <v>1404234748</v>
      </c>
      <c r="D2328">
        <v>-2627.73</v>
      </c>
    </row>
    <row r="2329" spans="1:4" x14ac:dyDescent="0.25">
      <c r="A2329" t="s">
        <v>641</v>
      </c>
      <c r="B2329" t="s">
        <v>85</v>
      </c>
      <c r="C2329" s="2">
        <f>HYPERLINK("https://sao.dolgi.msk.ru/account/1404235724/", 1404235724)</f>
        <v>1404235724</v>
      </c>
      <c r="D2329">
        <v>5290.11</v>
      </c>
    </row>
    <row r="2330" spans="1:4" x14ac:dyDescent="0.25">
      <c r="A2330" t="s">
        <v>641</v>
      </c>
      <c r="B2330" t="s">
        <v>86</v>
      </c>
      <c r="C2330" s="2">
        <f>HYPERLINK("https://sao.dolgi.msk.ru/account/1404236145/", 1404236145)</f>
        <v>1404236145</v>
      </c>
      <c r="D2330">
        <v>32860.019999999997</v>
      </c>
    </row>
    <row r="2331" spans="1:4" hidden="1" x14ac:dyDescent="0.25">
      <c r="A2331" t="s">
        <v>641</v>
      </c>
      <c r="B2331" t="s">
        <v>87</v>
      </c>
      <c r="C2331" s="2">
        <f>HYPERLINK("https://sao.dolgi.msk.ru/account/1404235521/", 1404235521)</f>
        <v>1404235521</v>
      </c>
      <c r="D2331">
        <v>-2725.76</v>
      </c>
    </row>
    <row r="2332" spans="1:4" x14ac:dyDescent="0.25">
      <c r="A2332" t="s">
        <v>641</v>
      </c>
      <c r="B2332" t="s">
        <v>88</v>
      </c>
      <c r="C2332" s="2">
        <f>HYPERLINK("https://sao.dolgi.msk.ru/account/1404235097/", 1404235097)</f>
        <v>1404235097</v>
      </c>
      <c r="D2332">
        <v>38550.639999999999</v>
      </c>
    </row>
    <row r="2333" spans="1:4" hidden="1" x14ac:dyDescent="0.25">
      <c r="A2333" t="s">
        <v>641</v>
      </c>
      <c r="B2333" t="s">
        <v>89</v>
      </c>
      <c r="C2333" s="2">
        <f>HYPERLINK("https://sao.dolgi.msk.ru/account/1404235919/", 1404235919)</f>
        <v>1404235919</v>
      </c>
      <c r="D2333">
        <v>-7506.49</v>
      </c>
    </row>
    <row r="2334" spans="1:4" hidden="1" x14ac:dyDescent="0.25">
      <c r="A2334" t="s">
        <v>641</v>
      </c>
      <c r="B2334" t="s">
        <v>90</v>
      </c>
      <c r="C2334" s="2">
        <f>HYPERLINK("https://sao.dolgi.msk.ru/account/1404235548/", 1404235548)</f>
        <v>1404235548</v>
      </c>
      <c r="D2334">
        <v>-7511.73</v>
      </c>
    </row>
    <row r="2335" spans="1:4" hidden="1" x14ac:dyDescent="0.25">
      <c r="A2335" t="s">
        <v>641</v>
      </c>
      <c r="B2335" t="s">
        <v>91</v>
      </c>
      <c r="C2335" s="2">
        <f>HYPERLINK("https://sao.dolgi.msk.ru/account/1404235003/", 1404235003)</f>
        <v>1404235003</v>
      </c>
      <c r="D2335">
        <v>0</v>
      </c>
    </row>
    <row r="2336" spans="1:4" hidden="1" x14ac:dyDescent="0.25">
      <c r="A2336" t="s">
        <v>641</v>
      </c>
      <c r="B2336" t="s">
        <v>92</v>
      </c>
      <c r="C2336" s="2">
        <f>HYPERLINK("https://sao.dolgi.msk.ru/account/1404235222/", 1404235222)</f>
        <v>1404235222</v>
      </c>
      <c r="D2336">
        <v>0</v>
      </c>
    </row>
    <row r="2337" spans="1:4" x14ac:dyDescent="0.25">
      <c r="A2337" t="s">
        <v>641</v>
      </c>
      <c r="B2337" t="s">
        <v>93</v>
      </c>
      <c r="C2337" s="2">
        <f>HYPERLINK("https://sao.dolgi.msk.ru/account/1404235556/", 1404235556)</f>
        <v>1404235556</v>
      </c>
      <c r="D2337">
        <v>23960.78</v>
      </c>
    </row>
    <row r="2338" spans="1:4" hidden="1" x14ac:dyDescent="0.25">
      <c r="A2338" t="s">
        <v>641</v>
      </c>
      <c r="B2338" t="s">
        <v>94</v>
      </c>
      <c r="C2338" s="2">
        <f>HYPERLINK("https://sao.dolgi.msk.ru/account/1404235038/", 1404235038)</f>
        <v>1404235038</v>
      </c>
      <c r="D2338">
        <v>-7052.28</v>
      </c>
    </row>
    <row r="2339" spans="1:4" hidden="1" x14ac:dyDescent="0.25">
      <c r="A2339" t="s">
        <v>641</v>
      </c>
      <c r="B2339" t="s">
        <v>95</v>
      </c>
      <c r="C2339" s="2">
        <f>HYPERLINK("https://sao.dolgi.msk.ru/account/1404236153/", 1404236153)</f>
        <v>1404236153</v>
      </c>
      <c r="D2339">
        <v>-6334.77</v>
      </c>
    </row>
    <row r="2340" spans="1:4" hidden="1" x14ac:dyDescent="0.25">
      <c r="A2340" t="s">
        <v>641</v>
      </c>
      <c r="B2340" t="s">
        <v>96</v>
      </c>
      <c r="C2340" s="2">
        <f>HYPERLINK("https://sao.dolgi.msk.ru/account/1404235388/", 1404235388)</f>
        <v>1404235388</v>
      </c>
      <c r="D2340">
        <v>-4990.5</v>
      </c>
    </row>
    <row r="2341" spans="1:4" hidden="1" x14ac:dyDescent="0.25">
      <c r="A2341" t="s">
        <v>641</v>
      </c>
      <c r="B2341" t="s">
        <v>97</v>
      </c>
      <c r="C2341" s="2">
        <f>HYPERLINK("https://sao.dolgi.msk.ru/account/1404235249/", 1404235249)</f>
        <v>1404235249</v>
      </c>
      <c r="D2341">
        <v>-7849.07</v>
      </c>
    </row>
    <row r="2342" spans="1:4" x14ac:dyDescent="0.25">
      <c r="A2342" t="s">
        <v>641</v>
      </c>
      <c r="B2342" t="s">
        <v>98</v>
      </c>
      <c r="C2342" s="2">
        <f>HYPERLINK("https://sao.dolgi.msk.ru/account/1404235927/", 1404235927)</f>
        <v>1404235927</v>
      </c>
      <c r="D2342">
        <v>6258.15</v>
      </c>
    </row>
    <row r="2343" spans="1:4" hidden="1" x14ac:dyDescent="0.25">
      <c r="A2343" t="s">
        <v>641</v>
      </c>
      <c r="B2343" t="s">
        <v>99</v>
      </c>
      <c r="C2343" s="2">
        <f>HYPERLINK("https://sao.dolgi.msk.ru/account/1404235046/", 1404235046)</f>
        <v>1404235046</v>
      </c>
      <c r="D2343">
        <v>-4859</v>
      </c>
    </row>
    <row r="2344" spans="1:4" hidden="1" x14ac:dyDescent="0.25">
      <c r="A2344" t="s">
        <v>641</v>
      </c>
      <c r="B2344" t="s">
        <v>100</v>
      </c>
      <c r="C2344" s="2">
        <f>HYPERLINK("https://sao.dolgi.msk.ru/account/1404235935/", 1404235935)</f>
        <v>1404235935</v>
      </c>
      <c r="D2344">
        <v>-5209.91</v>
      </c>
    </row>
    <row r="2345" spans="1:4" hidden="1" x14ac:dyDescent="0.25">
      <c r="A2345" t="s">
        <v>641</v>
      </c>
      <c r="B2345" t="s">
        <v>101</v>
      </c>
      <c r="C2345" s="2">
        <f>HYPERLINK("https://sao.dolgi.msk.ru/account/1404235054/", 1404235054)</f>
        <v>1404235054</v>
      </c>
      <c r="D2345">
        <v>0</v>
      </c>
    </row>
    <row r="2346" spans="1:4" hidden="1" x14ac:dyDescent="0.25">
      <c r="A2346" t="s">
        <v>641</v>
      </c>
      <c r="B2346" t="s">
        <v>102</v>
      </c>
      <c r="C2346" s="2">
        <f>HYPERLINK("https://sao.dolgi.msk.ru/account/1404234801/", 1404234801)</f>
        <v>1404234801</v>
      </c>
      <c r="D2346">
        <v>0</v>
      </c>
    </row>
    <row r="2347" spans="1:4" hidden="1" x14ac:dyDescent="0.25">
      <c r="A2347" t="s">
        <v>641</v>
      </c>
      <c r="B2347" t="s">
        <v>103</v>
      </c>
      <c r="C2347" s="2">
        <f>HYPERLINK("https://sao.dolgi.msk.ru/account/1404234828/", 1404234828)</f>
        <v>1404234828</v>
      </c>
      <c r="D2347">
        <v>-3355.96</v>
      </c>
    </row>
    <row r="2348" spans="1:4" hidden="1" x14ac:dyDescent="0.25">
      <c r="A2348" t="s">
        <v>641</v>
      </c>
      <c r="B2348" t="s">
        <v>104</v>
      </c>
      <c r="C2348" s="2">
        <f>HYPERLINK("https://sao.dolgi.msk.ru/account/1404234983/", 1404234983)</f>
        <v>1404234983</v>
      </c>
      <c r="D2348">
        <v>-5280.86</v>
      </c>
    </row>
    <row r="2349" spans="1:4" hidden="1" x14ac:dyDescent="0.25">
      <c r="A2349" t="s">
        <v>641</v>
      </c>
      <c r="B2349" t="s">
        <v>105</v>
      </c>
      <c r="C2349" s="2">
        <f>HYPERLINK("https://sao.dolgi.msk.ru/account/1404234991/", 1404234991)</f>
        <v>1404234991</v>
      </c>
      <c r="D2349">
        <v>-9942.6200000000008</v>
      </c>
    </row>
    <row r="2350" spans="1:4" hidden="1" x14ac:dyDescent="0.25">
      <c r="A2350" t="s">
        <v>641</v>
      </c>
      <c r="B2350" t="s">
        <v>106</v>
      </c>
      <c r="C2350" s="2">
        <f>HYPERLINK("https://sao.dolgi.msk.ru/account/1404235513/", 1404235513)</f>
        <v>1404235513</v>
      </c>
      <c r="D2350">
        <v>0</v>
      </c>
    </row>
    <row r="2351" spans="1:4" hidden="1" x14ac:dyDescent="0.25">
      <c r="A2351" t="s">
        <v>641</v>
      </c>
      <c r="B2351" t="s">
        <v>107</v>
      </c>
      <c r="C2351" s="2">
        <f>HYPERLINK("https://sao.dolgi.msk.ru/account/1404235636/", 1404235636)</f>
        <v>1404235636</v>
      </c>
      <c r="D2351">
        <v>0</v>
      </c>
    </row>
    <row r="2352" spans="1:4" hidden="1" x14ac:dyDescent="0.25">
      <c r="A2352" t="s">
        <v>641</v>
      </c>
      <c r="B2352" t="s">
        <v>108</v>
      </c>
      <c r="C2352" s="2">
        <f>HYPERLINK("https://sao.dolgi.msk.ru/account/1404235644/", 1404235644)</f>
        <v>1404235644</v>
      </c>
      <c r="D2352">
        <v>-6746.62</v>
      </c>
    </row>
    <row r="2353" spans="1:4" hidden="1" x14ac:dyDescent="0.25">
      <c r="A2353" t="s">
        <v>641</v>
      </c>
      <c r="B2353" t="s">
        <v>109</v>
      </c>
      <c r="C2353" s="2">
        <f>HYPERLINK("https://sao.dolgi.msk.ru/account/1404235599/", 1404235599)</f>
        <v>1404235599</v>
      </c>
      <c r="D2353">
        <v>-8040.49</v>
      </c>
    </row>
    <row r="2354" spans="1:4" hidden="1" x14ac:dyDescent="0.25">
      <c r="A2354" t="s">
        <v>641</v>
      </c>
      <c r="B2354" t="s">
        <v>110</v>
      </c>
      <c r="C2354" s="2">
        <f>HYPERLINK("https://sao.dolgi.msk.ru/account/1404234617/", 1404234617)</f>
        <v>1404234617</v>
      </c>
      <c r="D2354">
        <v>0</v>
      </c>
    </row>
    <row r="2355" spans="1:4" hidden="1" x14ac:dyDescent="0.25">
      <c r="A2355" t="s">
        <v>641</v>
      </c>
      <c r="B2355" t="s">
        <v>111</v>
      </c>
      <c r="C2355" s="2">
        <f>HYPERLINK("https://sao.dolgi.msk.ru/account/1404235812/", 1404235812)</f>
        <v>1404235812</v>
      </c>
      <c r="D2355">
        <v>-5700.72</v>
      </c>
    </row>
    <row r="2356" spans="1:4" hidden="1" x14ac:dyDescent="0.25">
      <c r="A2356" t="s">
        <v>641</v>
      </c>
      <c r="B2356" t="s">
        <v>112</v>
      </c>
      <c r="C2356" s="2">
        <f>HYPERLINK("https://sao.dolgi.msk.ru/account/1404235329/", 1404235329)</f>
        <v>1404235329</v>
      </c>
      <c r="D2356">
        <v>0</v>
      </c>
    </row>
    <row r="2357" spans="1:4" hidden="1" x14ac:dyDescent="0.25">
      <c r="A2357" t="s">
        <v>641</v>
      </c>
      <c r="B2357" t="s">
        <v>113</v>
      </c>
      <c r="C2357" s="2">
        <f>HYPERLINK("https://sao.dolgi.msk.ru/account/1404235281/", 1404235281)</f>
        <v>1404235281</v>
      </c>
      <c r="D2357">
        <v>0</v>
      </c>
    </row>
    <row r="2358" spans="1:4" hidden="1" x14ac:dyDescent="0.25">
      <c r="A2358" t="s">
        <v>641</v>
      </c>
      <c r="B2358" t="s">
        <v>113</v>
      </c>
      <c r="C2358" s="2">
        <f>HYPERLINK("https://sao.dolgi.msk.ru/account/1404236065/", 1404236065)</f>
        <v>1404236065</v>
      </c>
      <c r="D2358">
        <v>0</v>
      </c>
    </row>
    <row r="2359" spans="1:4" hidden="1" x14ac:dyDescent="0.25">
      <c r="A2359" t="s">
        <v>641</v>
      </c>
      <c r="B2359" t="s">
        <v>114</v>
      </c>
      <c r="C2359" s="2">
        <f>HYPERLINK("https://sao.dolgi.msk.ru/account/1404234879/", 1404234879)</f>
        <v>1404234879</v>
      </c>
      <c r="D2359">
        <v>-4993.95</v>
      </c>
    </row>
    <row r="2360" spans="1:4" hidden="1" x14ac:dyDescent="0.25">
      <c r="A2360" t="s">
        <v>641</v>
      </c>
      <c r="B2360" t="s">
        <v>115</v>
      </c>
      <c r="C2360" s="2">
        <f>HYPERLINK("https://sao.dolgi.msk.ru/account/1404235441/", 1404235441)</f>
        <v>1404235441</v>
      </c>
      <c r="D2360">
        <v>0</v>
      </c>
    </row>
    <row r="2361" spans="1:4" hidden="1" x14ac:dyDescent="0.25">
      <c r="A2361" t="s">
        <v>641</v>
      </c>
      <c r="B2361" t="s">
        <v>116</v>
      </c>
      <c r="C2361" s="2">
        <f>HYPERLINK("https://sao.dolgi.msk.ru/account/1404234553/", 1404234553)</f>
        <v>1404234553</v>
      </c>
      <c r="D2361">
        <v>-4282.49</v>
      </c>
    </row>
    <row r="2362" spans="1:4" hidden="1" x14ac:dyDescent="0.25">
      <c r="A2362" t="s">
        <v>641</v>
      </c>
      <c r="B2362" t="s">
        <v>117</v>
      </c>
      <c r="C2362" s="2">
        <f>HYPERLINK("https://sao.dolgi.msk.ru/account/1404235337/", 1404235337)</f>
        <v>1404235337</v>
      </c>
      <c r="D2362">
        <v>-7526.78</v>
      </c>
    </row>
    <row r="2363" spans="1:4" hidden="1" x14ac:dyDescent="0.25">
      <c r="A2363" t="s">
        <v>641</v>
      </c>
      <c r="B2363" t="s">
        <v>118</v>
      </c>
      <c r="C2363" s="2">
        <f>HYPERLINK("https://sao.dolgi.msk.ru/account/1404234561/", 1404234561)</f>
        <v>1404234561</v>
      </c>
      <c r="D2363">
        <v>-6571.44</v>
      </c>
    </row>
    <row r="2364" spans="1:4" hidden="1" x14ac:dyDescent="0.25">
      <c r="A2364" t="s">
        <v>641</v>
      </c>
      <c r="B2364" t="s">
        <v>119</v>
      </c>
      <c r="C2364" s="2">
        <f>HYPERLINK("https://sao.dolgi.msk.ru/account/1404234588/", 1404234588)</f>
        <v>1404234588</v>
      </c>
      <c r="D2364">
        <v>-270.18</v>
      </c>
    </row>
    <row r="2365" spans="1:4" hidden="1" x14ac:dyDescent="0.25">
      <c r="A2365" t="s">
        <v>641</v>
      </c>
      <c r="B2365" t="s">
        <v>120</v>
      </c>
      <c r="C2365" s="2">
        <f>HYPERLINK("https://sao.dolgi.msk.ru/account/1404234887/", 1404234887)</f>
        <v>1404234887</v>
      </c>
      <c r="D2365">
        <v>-5523.48</v>
      </c>
    </row>
    <row r="2366" spans="1:4" x14ac:dyDescent="0.25">
      <c r="A2366" t="s">
        <v>641</v>
      </c>
      <c r="B2366" t="s">
        <v>121</v>
      </c>
      <c r="C2366" s="2">
        <f>HYPERLINK("https://sao.dolgi.msk.ru/account/1404234596/", 1404234596)</f>
        <v>1404234596</v>
      </c>
      <c r="D2366">
        <v>8675.06</v>
      </c>
    </row>
    <row r="2367" spans="1:4" x14ac:dyDescent="0.25">
      <c r="A2367" t="s">
        <v>641</v>
      </c>
      <c r="B2367" t="s">
        <v>122</v>
      </c>
      <c r="C2367" s="2">
        <f>HYPERLINK("https://sao.dolgi.msk.ru/account/1404234609/", 1404234609)</f>
        <v>1404234609</v>
      </c>
      <c r="D2367">
        <v>7106.49</v>
      </c>
    </row>
    <row r="2368" spans="1:4" hidden="1" x14ac:dyDescent="0.25">
      <c r="A2368" t="s">
        <v>641</v>
      </c>
      <c r="B2368" t="s">
        <v>123</v>
      </c>
      <c r="C2368" s="2">
        <f>HYPERLINK("https://sao.dolgi.msk.ru/account/1404235695/", 1404235695)</f>
        <v>1404235695</v>
      </c>
      <c r="D2368">
        <v>-6084.62</v>
      </c>
    </row>
    <row r="2369" spans="1:4" hidden="1" x14ac:dyDescent="0.25">
      <c r="A2369" t="s">
        <v>641</v>
      </c>
      <c r="B2369" t="s">
        <v>124</v>
      </c>
      <c r="C2369" s="2">
        <f>HYPERLINK("https://sao.dolgi.msk.ru/account/1404235169/", 1404235169)</f>
        <v>1404235169</v>
      </c>
      <c r="D2369">
        <v>-4638.21</v>
      </c>
    </row>
    <row r="2370" spans="1:4" x14ac:dyDescent="0.25">
      <c r="A2370" t="s">
        <v>641</v>
      </c>
      <c r="B2370" t="s">
        <v>125</v>
      </c>
      <c r="C2370" s="2">
        <f>HYPERLINK("https://sao.dolgi.msk.ru/account/1404236102/", 1404236102)</f>
        <v>1404236102</v>
      </c>
      <c r="D2370">
        <v>47667.82</v>
      </c>
    </row>
    <row r="2371" spans="1:4" hidden="1" x14ac:dyDescent="0.25">
      <c r="A2371" t="s">
        <v>641</v>
      </c>
      <c r="B2371" t="s">
        <v>126</v>
      </c>
      <c r="C2371" s="2">
        <f>HYPERLINK("https://sao.dolgi.msk.ru/account/1404235855/", 1404235855)</f>
        <v>1404235855</v>
      </c>
      <c r="D2371">
        <v>-4391.38</v>
      </c>
    </row>
    <row r="2372" spans="1:4" hidden="1" x14ac:dyDescent="0.25">
      <c r="A2372" t="s">
        <v>641</v>
      </c>
      <c r="B2372" t="s">
        <v>127</v>
      </c>
      <c r="C2372" s="2">
        <f>HYPERLINK("https://sao.dolgi.msk.ru/account/1404235177/", 1404235177)</f>
        <v>1404235177</v>
      </c>
      <c r="D2372">
        <v>-4047.13</v>
      </c>
    </row>
    <row r="2373" spans="1:4" hidden="1" x14ac:dyDescent="0.25">
      <c r="A2373" t="s">
        <v>641</v>
      </c>
      <c r="B2373" t="s">
        <v>128</v>
      </c>
      <c r="C2373" s="2">
        <f>HYPERLINK("https://sao.dolgi.msk.ru/account/1404234692/", 1404234692)</f>
        <v>1404234692</v>
      </c>
      <c r="D2373">
        <v>0</v>
      </c>
    </row>
    <row r="2374" spans="1:4" x14ac:dyDescent="0.25">
      <c r="A2374" t="s">
        <v>641</v>
      </c>
      <c r="B2374" t="s">
        <v>129</v>
      </c>
      <c r="C2374" s="2">
        <f>HYPERLINK("https://sao.dolgi.msk.ru/account/1404236129/", 1404236129)</f>
        <v>1404236129</v>
      </c>
      <c r="D2374">
        <v>24177.759999999998</v>
      </c>
    </row>
    <row r="2375" spans="1:4" x14ac:dyDescent="0.25">
      <c r="A2375" t="s">
        <v>641</v>
      </c>
      <c r="B2375" t="s">
        <v>130</v>
      </c>
      <c r="C2375" s="2">
        <f>HYPERLINK("https://sao.dolgi.msk.ru/account/1404235505/", 1404235505)</f>
        <v>1404235505</v>
      </c>
      <c r="D2375">
        <v>20820.54</v>
      </c>
    </row>
    <row r="2376" spans="1:4" hidden="1" x14ac:dyDescent="0.25">
      <c r="A2376" t="s">
        <v>641</v>
      </c>
      <c r="B2376" t="s">
        <v>131</v>
      </c>
      <c r="C2376" s="2">
        <f>HYPERLINK("https://sao.dolgi.msk.ru/account/1404234705/", 1404234705)</f>
        <v>1404234705</v>
      </c>
      <c r="D2376">
        <v>-3351.82</v>
      </c>
    </row>
    <row r="2377" spans="1:4" hidden="1" x14ac:dyDescent="0.25">
      <c r="A2377" t="s">
        <v>641</v>
      </c>
      <c r="B2377" t="s">
        <v>131</v>
      </c>
      <c r="C2377" s="2">
        <f>HYPERLINK("https://sao.dolgi.msk.ru/account/1404235417/", 1404235417)</f>
        <v>1404235417</v>
      </c>
      <c r="D2377">
        <v>-1676.08</v>
      </c>
    </row>
    <row r="2378" spans="1:4" x14ac:dyDescent="0.25">
      <c r="A2378" t="s">
        <v>641</v>
      </c>
      <c r="B2378" t="s">
        <v>132</v>
      </c>
      <c r="C2378" s="2">
        <f>HYPERLINK("https://sao.dolgi.msk.ru/account/1404235185/", 1404235185)</f>
        <v>1404235185</v>
      </c>
      <c r="D2378">
        <v>42807.02</v>
      </c>
    </row>
    <row r="2379" spans="1:4" hidden="1" x14ac:dyDescent="0.25">
      <c r="A2379" t="s">
        <v>641</v>
      </c>
      <c r="B2379" t="s">
        <v>133</v>
      </c>
      <c r="C2379" s="2">
        <f>HYPERLINK("https://sao.dolgi.msk.ru/account/1404235804/", 1404235804)</f>
        <v>1404235804</v>
      </c>
      <c r="D2379">
        <v>0</v>
      </c>
    </row>
    <row r="2380" spans="1:4" x14ac:dyDescent="0.25">
      <c r="A2380" t="s">
        <v>641</v>
      </c>
      <c r="B2380" t="s">
        <v>134</v>
      </c>
      <c r="C2380" s="2">
        <f>HYPERLINK("https://sao.dolgi.msk.ru/account/1404234932/", 1404234932)</f>
        <v>1404234932</v>
      </c>
      <c r="D2380">
        <v>8998.77</v>
      </c>
    </row>
    <row r="2381" spans="1:4" hidden="1" x14ac:dyDescent="0.25">
      <c r="A2381" t="s">
        <v>641</v>
      </c>
      <c r="B2381" t="s">
        <v>135</v>
      </c>
      <c r="C2381" s="2">
        <f>HYPERLINK("https://sao.dolgi.msk.ru/account/1404234713/", 1404234713)</f>
        <v>1404234713</v>
      </c>
      <c r="D2381">
        <v>-5690.58</v>
      </c>
    </row>
    <row r="2382" spans="1:4" x14ac:dyDescent="0.25">
      <c r="A2382" t="s">
        <v>641</v>
      </c>
      <c r="B2382" t="s">
        <v>136</v>
      </c>
      <c r="C2382" s="2">
        <f>HYPERLINK("https://sao.dolgi.msk.ru/account/1404236137/", 1404236137)</f>
        <v>1404236137</v>
      </c>
      <c r="D2382">
        <v>8817.66</v>
      </c>
    </row>
    <row r="2383" spans="1:4" hidden="1" x14ac:dyDescent="0.25">
      <c r="A2383" t="s">
        <v>641</v>
      </c>
      <c r="B2383" t="s">
        <v>137</v>
      </c>
      <c r="C2383" s="2">
        <f>HYPERLINK("https://sao.dolgi.msk.ru/account/1404235206/", 1404235206)</f>
        <v>1404235206</v>
      </c>
      <c r="D2383">
        <v>0</v>
      </c>
    </row>
    <row r="2384" spans="1:4" hidden="1" x14ac:dyDescent="0.25">
      <c r="A2384" t="s">
        <v>641</v>
      </c>
      <c r="B2384" t="s">
        <v>138</v>
      </c>
      <c r="C2384" s="2">
        <f>HYPERLINK("https://sao.dolgi.msk.ru/account/1404235863/", 1404235863)</f>
        <v>1404235863</v>
      </c>
      <c r="D2384">
        <v>0</v>
      </c>
    </row>
    <row r="2385" spans="1:4" hidden="1" x14ac:dyDescent="0.25">
      <c r="A2385" t="s">
        <v>642</v>
      </c>
      <c r="B2385" t="s">
        <v>5</v>
      </c>
      <c r="C2385" s="2">
        <f>HYPERLINK("https://sao.dolgi.msk.ru/account/1404236647/", 1404236647)</f>
        <v>1404236647</v>
      </c>
      <c r="D2385">
        <v>-7830.47</v>
      </c>
    </row>
    <row r="2386" spans="1:4" hidden="1" x14ac:dyDescent="0.25">
      <c r="A2386" t="s">
        <v>642</v>
      </c>
      <c r="B2386" t="s">
        <v>6</v>
      </c>
      <c r="C2386" s="2">
        <f>HYPERLINK("https://sao.dolgi.msk.ru/account/1404237199/", 1404237199)</f>
        <v>1404237199</v>
      </c>
      <c r="D2386">
        <v>0</v>
      </c>
    </row>
    <row r="2387" spans="1:4" hidden="1" x14ac:dyDescent="0.25">
      <c r="A2387" t="s">
        <v>642</v>
      </c>
      <c r="B2387" t="s">
        <v>7</v>
      </c>
      <c r="C2387" s="2">
        <f>HYPERLINK("https://sao.dolgi.msk.ru/account/1404236655/", 1404236655)</f>
        <v>1404236655</v>
      </c>
      <c r="D2387">
        <v>-4724.0200000000004</v>
      </c>
    </row>
    <row r="2388" spans="1:4" x14ac:dyDescent="0.25">
      <c r="A2388" t="s">
        <v>642</v>
      </c>
      <c r="B2388" t="s">
        <v>8</v>
      </c>
      <c r="C2388" s="2">
        <f>HYPERLINK("https://sao.dolgi.msk.ru/account/1404237623/", 1404237623)</f>
        <v>1404237623</v>
      </c>
      <c r="D2388">
        <v>8618.27</v>
      </c>
    </row>
    <row r="2389" spans="1:4" x14ac:dyDescent="0.25">
      <c r="A2389" t="s">
        <v>642</v>
      </c>
      <c r="B2389" t="s">
        <v>9</v>
      </c>
      <c r="C2389" s="2">
        <f>HYPERLINK("https://sao.dolgi.msk.ru/account/1404236268/", 1404236268)</f>
        <v>1404236268</v>
      </c>
      <c r="D2389">
        <v>64148.62</v>
      </c>
    </row>
    <row r="2390" spans="1:4" hidden="1" x14ac:dyDescent="0.25">
      <c r="A2390" t="s">
        <v>642</v>
      </c>
      <c r="B2390" t="s">
        <v>10</v>
      </c>
      <c r="C2390" s="2">
        <f>HYPERLINK("https://sao.dolgi.msk.ru/account/1404237789/", 1404237789)</f>
        <v>1404237789</v>
      </c>
      <c r="D2390">
        <v>-2967.86</v>
      </c>
    </row>
    <row r="2391" spans="1:4" hidden="1" x14ac:dyDescent="0.25">
      <c r="A2391" t="s">
        <v>642</v>
      </c>
      <c r="B2391" t="s">
        <v>11</v>
      </c>
      <c r="C2391" s="2">
        <f>HYPERLINK("https://sao.dolgi.msk.ru/account/1404236663/", 1404236663)</f>
        <v>1404236663</v>
      </c>
      <c r="D2391">
        <v>-9241.49</v>
      </c>
    </row>
    <row r="2392" spans="1:4" hidden="1" x14ac:dyDescent="0.25">
      <c r="A2392" t="s">
        <v>642</v>
      </c>
      <c r="B2392" t="s">
        <v>12</v>
      </c>
      <c r="C2392" s="2">
        <f>HYPERLINK("https://sao.dolgi.msk.ru/account/1404237383/", 1404237383)</f>
        <v>1404237383</v>
      </c>
      <c r="D2392">
        <v>0</v>
      </c>
    </row>
    <row r="2393" spans="1:4" hidden="1" x14ac:dyDescent="0.25">
      <c r="A2393" t="s">
        <v>642</v>
      </c>
      <c r="B2393" t="s">
        <v>13</v>
      </c>
      <c r="C2393" s="2">
        <f>HYPERLINK("https://sao.dolgi.msk.ru/account/1404236444/", 1404236444)</f>
        <v>1404236444</v>
      </c>
      <c r="D2393">
        <v>0</v>
      </c>
    </row>
    <row r="2394" spans="1:4" x14ac:dyDescent="0.25">
      <c r="A2394" t="s">
        <v>642</v>
      </c>
      <c r="B2394" t="s">
        <v>14</v>
      </c>
      <c r="C2394" s="2">
        <f>HYPERLINK("https://sao.dolgi.msk.ru/account/1404237228/", 1404237228)</f>
        <v>1404237228</v>
      </c>
      <c r="D2394">
        <v>51215.45</v>
      </c>
    </row>
    <row r="2395" spans="1:4" hidden="1" x14ac:dyDescent="0.25">
      <c r="A2395" t="s">
        <v>642</v>
      </c>
      <c r="B2395" t="s">
        <v>15</v>
      </c>
      <c r="C2395" s="2">
        <f>HYPERLINK("https://sao.dolgi.msk.ru/account/1404236698/", 1404236698)</f>
        <v>1404236698</v>
      </c>
      <c r="D2395">
        <v>0</v>
      </c>
    </row>
    <row r="2396" spans="1:4" hidden="1" x14ac:dyDescent="0.25">
      <c r="A2396" t="s">
        <v>642</v>
      </c>
      <c r="B2396" t="s">
        <v>16</v>
      </c>
      <c r="C2396" s="2">
        <f>HYPERLINK("https://sao.dolgi.msk.ru/account/1404236719/", 1404236719)</f>
        <v>1404236719</v>
      </c>
      <c r="D2396">
        <v>-11993.17</v>
      </c>
    </row>
    <row r="2397" spans="1:4" hidden="1" x14ac:dyDescent="0.25">
      <c r="A2397" t="s">
        <v>642</v>
      </c>
      <c r="B2397" t="s">
        <v>17</v>
      </c>
      <c r="C2397" s="2">
        <f>HYPERLINK("https://sao.dolgi.msk.ru/account/1404237615/", 1404237615)</f>
        <v>1404237615</v>
      </c>
      <c r="D2397">
        <v>-6024.44</v>
      </c>
    </row>
    <row r="2398" spans="1:4" hidden="1" x14ac:dyDescent="0.25">
      <c r="A2398" t="s">
        <v>642</v>
      </c>
      <c r="B2398" t="s">
        <v>18</v>
      </c>
      <c r="C2398" s="2">
        <f>HYPERLINK("https://sao.dolgi.msk.ru/account/1404236233/", 1404236233)</f>
        <v>1404236233</v>
      </c>
      <c r="D2398">
        <v>0</v>
      </c>
    </row>
    <row r="2399" spans="1:4" hidden="1" x14ac:dyDescent="0.25">
      <c r="A2399" t="s">
        <v>642</v>
      </c>
      <c r="B2399" t="s">
        <v>19</v>
      </c>
      <c r="C2399" s="2">
        <f>HYPERLINK("https://sao.dolgi.msk.ru/account/1404237754/", 1404237754)</f>
        <v>1404237754</v>
      </c>
      <c r="D2399">
        <v>-2886.8</v>
      </c>
    </row>
    <row r="2400" spans="1:4" hidden="1" x14ac:dyDescent="0.25">
      <c r="A2400" t="s">
        <v>642</v>
      </c>
      <c r="B2400" t="s">
        <v>20</v>
      </c>
      <c r="C2400" s="2">
        <f>HYPERLINK("https://sao.dolgi.msk.ru/account/1404237762/", 1404237762)</f>
        <v>1404237762</v>
      </c>
      <c r="D2400">
        <v>0</v>
      </c>
    </row>
    <row r="2401" spans="1:4" hidden="1" x14ac:dyDescent="0.25">
      <c r="A2401" t="s">
        <v>642</v>
      </c>
      <c r="B2401" t="s">
        <v>21</v>
      </c>
      <c r="C2401" s="2">
        <f>HYPERLINK("https://sao.dolgi.msk.ru/account/1404237527/", 1404237527)</f>
        <v>1404237527</v>
      </c>
      <c r="D2401">
        <v>0</v>
      </c>
    </row>
    <row r="2402" spans="1:4" hidden="1" x14ac:dyDescent="0.25">
      <c r="A2402" t="s">
        <v>642</v>
      </c>
      <c r="B2402" t="s">
        <v>22</v>
      </c>
      <c r="C2402" s="2">
        <f>HYPERLINK("https://sao.dolgi.msk.ru/account/1404237324/", 1404237324)</f>
        <v>1404237324</v>
      </c>
      <c r="D2402">
        <v>-6045.52</v>
      </c>
    </row>
    <row r="2403" spans="1:4" x14ac:dyDescent="0.25">
      <c r="A2403" t="s">
        <v>642</v>
      </c>
      <c r="B2403" t="s">
        <v>23</v>
      </c>
      <c r="C2403" s="2">
        <f>HYPERLINK("https://sao.dolgi.msk.ru/account/1404237551/", 1404237551)</f>
        <v>1404237551</v>
      </c>
      <c r="D2403">
        <v>7182.47</v>
      </c>
    </row>
    <row r="2404" spans="1:4" x14ac:dyDescent="0.25">
      <c r="A2404" t="s">
        <v>642</v>
      </c>
      <c r="B2404" t="s">
        <v>24</v>
      </c>
      <c r="C2404" s="2">
        <f>HYPERLINK("https://sao.dolgi.msk.ru/account/1404236348/", 1404236348)</f>
        <v>1404236348</v>
      </c>
      <c r="D2404">
        <v>874.5</v>
      </c>
    </row>
    <row r="2405" spans="1:4" hidden="1" x14ac:dyDescent="0.25">
      <c r="A2405" t="s">
        <v>642</v>
      </c>
      <c r="B2405" t="s">
        <v>25</v>
      </c>
      <c r="C2405" s="2">
        <f>HYPERLINK("https://sao.dolgi.msk.ru/account/1404237519/", 1404237519)</f>
        <v>1404237519</v>
      </c>
      <c r="D2405">
        <v>-8465.9599999999991</v>
      </c>
    </row>
    <row r="2406" spans="1:4" hidden="1" x14ac:dyDescent="0.25">
      <c r="A2406" t="s">
        <v>642</v>
      </c>
      <c r="B2406" t="s">
        <v>26</v>
      </c>
      <c r="C2406" s="2">
        <f>HYPERLINK("https://sao.dolgi.msk.ru/account/1404236874/", 1404236874)</f>
        <v>1404236874</v>
      </c>
      <c r="D2406">
        <v>-7724.76</v>
      </c>
    </row>
    <row r="2407" spans="1:4" hidden="1" x14ac:dyDescent="0.25">
      <c r="A2407" t="s">
        <v>642</v>
      </c>
      <c r="B2407" t="s">
        <v>27</v>
      </c>
      <c r="C2407" s="2">
        <f>HYPERLINK("https://sao.dolgi.msk.ru/account/1404236831/", 1404236831)</f>
        <v>1404236831</v>
      </c>
      <c r="D2407">
        <v>0</v>
      </c>
    </row>
    <row r="2408" spans="1:4" hidden="1" x14ac:dyDescent="0.25">
      <c r="A2408" t="s">
        <v>642</v>
      </c>
      <c r="B2408" t="s">
        <v>28</v>
      </c>
      <c r="C2408" s="2">
        <f>HYPERLINK("https://sao.dolgi.msk.ru/account/1404236559/", 1404236559)</f>
        <v>1404236559</v>
      </c>
      <c r="D2408">
        <v>-7549.41</v>
      </c>
    </row>
    <row r="2409" spans="1:4" hidden="1" x14ac:dyDescent="0.25">
      <c r="A2409" t="s">
        <v>642</v>
      </c>
      <c r="B2409" t="s">
        <v>29</v>
      </c>
      <c r="C2409" s="2">
        <f>HYPERLINK("https://sao.dolgi.msk.ru/account/1404236583/", 1404236583)</f>
        <v>1404236583</v>
      </c>
      <c r="D2409">
        <v>-5611.31</v>
      </c>
    </row>
    <row r="2410" spans="1:4" hidden="1" x14ac:dyDescent="0.25">
      <c r="A2410" t="s">
        <v>642</v>
      </c>
      <c r="B2410" t="s">
        <v>30</v>
      </c>
      <c r="C2410" s="2">
        <f>HYPERLINK("https://sao.dolgi.msk.ru/account/1404237316/", 1404237316)</f>
        <v>1404237316</v>
      </c>
      <c r="D2410">
        <v>-8119.92</v>
      </c>
    </row>
    <row r="2411" spans="1:4" hidden="1" x14ac:dyDescent="0.25">
      <c r="A2411" t="s">
        <v>642</v>
      </c>
      <c r="B2411" t="s">
        <v>31</v>
      </c>
      <c r="C2411" s="2">
        <f>HYPERLINK("https://sao.dolgi.msk.ru/account/1404236612/", 1404236612)</f>
        <v>1404236612</v>
      </c>
      <c r="D2411">
        <v>-6676.55</v>
      </c>
    </row>
    <row r="2412" spans="1:4" hidden="1" x14ac:dyDescent="0.25">
      <c r="A2412" t="s">
        <v>642</v>
      </c>
      <c r="B2412" t="s">
        <v>32</v>
      </c>
      <c r="C2412" s="2">
        <f>HYPERLINK("https://sao.dolgi.msk.ru/account/1404236866/", 1404236866)</f>
        <v>1404236866</v>
      </c>
      <c r="D2412">
        <v>0</v>
      </c>
    </row>
    <row r="2413" spans="1:4" hidden="1" x14ac:dyDescent="0.25">
      <c r="A2413" t="s">
        <v>642</v>
      </c>
      <c r="B2413" t="s">
        <v>33</v>
      </c>
      <c r="C2413" s="2">
        <f>HYPERLINK("https://sao.dolgi.msk.ru/account/1404236786/", 1404236786)</f>
        <v>1404236786</v>
      </c>
      <c r="D2413">
        <v>0</v>
      </c>
    </row>
    <row r="2414" spans="1:4" x14ac:dyDescent="0.25">
      <c r="A2414" t="s">
        <v>642</v>
      </c>
      <c r="B2414" t="s">
        <v>34</v>
      </c>
      <c r="C2414" s="2">
        <f>HYPERLINK("https://sao.dolgi.msk.ru/account/1404237252/", 1404237252)</f>
        <v>1404237252</v>
      </c>
      <c r="D2414">
        <v>1109.99</v>
      </c>
    </row>
    <row r="2415" spans="1:4" hidden="1" x14ac:dyDescent="0.25">
      <c r="A2415" t="s">
        <v>642</v>
      </c>
      <c r="B2415" t="s">
        <v>35</v>
      </c>
      <c r="C2415" s="2">
        <f>HYPERLINK("https://sao.dolgi.msk.ru/account/1404236305/", 1404236305)</f>
        <v>1404236305</v>
      </c>
      <c r="D2415">
        <v>-8868.92</v>
      </c>
    </row>
    <row r="2416" spans="1:4" hidden="1" x14ac:dyDescent="0.25">
      <c r="A2416" t="s">
        <v>642</v>
      </c>
      <c r="B2416" t="s">
        <v>36</v>
      </c>
      <c r="C2416" s="2">
        <f>HYPERLINK("https://sao.dolgi.msk.ru/account/1404236778/", 1404236778)</f>
        <v>1404236778</v>
      </c>
      <c r="D2416">
        <v>-9756.92</v>
      </c>
    </row>
    <row r="2417" spans="1:4" hidden="1" x14ac:dyDescent="0.25">
      <c r="A2417" t="s">
        <v>642</v>
      </c>
      <c r="B2417" t="s">
        <v>37</v>
      </c>
      <c r="C2417" s="2">
        <f>HYPERLINK("https://sao.dolgi.msk.ru/account/1404237033/", 1404237033)</f>
        <v>1404237033</v>
      </c>
      <c r="D2417">
        <v>0</v>
      </c>
    </row>
    <row r="2418" spans="1:4" hidden="1" x14ac:dyDescent="0.25">
      <c r="A2418" t="s">
        <v>642</v>
      </c>
      <c r="B2418" t="s">
        <v>38</v>
      </c>
      <c r="C2418" s="2">
        <f>HYPERLINK("https://sao.dolgi.msk.ru/account/1404237658/", 1404237658)</f>
        <v>1404237658</v>
      </c>
      <c r="D2418">
        <v>-4275.6099999999997</v>
      </c>
    </row>
    <row r="2419" spans="1:4" hidden="1" x14ac:dyDescent="0.25">
      <c r="A2419" t="s">
        <v>642</v>
      </c>
      <c r="B2419" t="s">
        <v>39</v>
      </c>
      <c r="C2419" s="2">
        <f>HYPERLINK("https://sao.dolgi.msk.ru/account/1404236751/", 1404236751)</f>
        <v>1404236751</v>
      </c>
      <c r="D2419">
        <v>-4557.03</v>
      </c>
    </row>
    <row r="2420" spans="1:4" hidden="1" x14ac:dyDescent="0.25">
      <c r="A2420" t="s">
        <v>642</v>
      </c>
      <c r="B2420" t="s">
        <v>40</v>
      </c>
      <c r="C2420" s="2">
        <f>HYPERLINK("https://sao.dolgi.msk.ru/account/1404236495/", 1404236495)</f>
        <v>1404236495</v>
      </c>
      <c r="D2420">
        <v>-9061.92</v>
      </c>
    </row>
    <row r="2421" spans="1:4" x14ac:dyDescent="0.25">
      <c r="A2421" t="s">
        <v>642</v>
      </c>
      <c r="B2421" t="s">
        <v>41</v>
      </c>
      <c r="C2421" s="2">
        <f>HYPERLINK("https://sao.dolgi.msk.ru/account/1404237447/", 1404237447)</f>
        <v>1404237447</v>
      </c>
      <c r="D2421">
        <v>54120.06</v>
      </c>
    </row>
    <row r="2422" spans="1:4" hidden="1" x14ac:dyDescent="0.25">
      <c r="A2422" t="s">
        <v>642</v>
      </c>
      <c r="B2422" t="s">
        <v>42</v>
      </c>
      <c r="C2422" s="2">
        <f>HYPERLINK("https://sao.dolgi.msk.ru/account/1404237631/", 1404237631)</f>
        <v>1404237631</v>
      </c>
      <c r="D2422">
        <v>0</v>
      </c>
    </row>
    <row r="2423" spans="1:4" hidden="1" x14ac:dyDescent="0.25">
      <c r="A2423" t="s">
        <v>642</v>
      </c>
      <c r="B2423" t="s">
        <v>43</v>
      </c>
      <c r="C2423" s="2">
        <f>HYPERLINK("https://sao.dolgi.msk.ru/account/1404237244/", 1404237244)</f>
        <v>1404237244</v>
      </c>
      <c r="D2423">
        <v>-486.32</v>
      </c>
    </row>
    <row r="2424" spans="1:4" hidden="1" x14ac:dyDescent="0.25">
      <c r="A2424" t="s">
        <v>642</v>
      </c>
      <c r="B2424" t="s">
        <v>44</v>
      </c>
      <c r="C2424" s="2">
        <f>HYPERLINK("https://sao.dolgi.msk.ru/account/1404237017/", 1404237017)</f>
        <v>1404237017</v>
      </c>
      <c r="D2424">
        <v>-6631.5</v>
      </c>
    </row>
    <row r="2425" spans="1:4" hidden="1" x14ac:dyDescent="0.25">
      <c r="A2425" t="s">
        <v>642</v>
      </c>
      <c r="B2425" t="s">
        <v>45</v>
      </c>
      <c r="C2425" s="2">
        <f>HYPERLINK("https://sao.dolgi.msk.ru/account/1404237009/", 1404237009)</f>
        <v>1404237009</v>
      </c>
      <c r="D2425">
        <v>0</v>
      </c>
    </row>
    <row r="2426" spans="1:4" hidden="1" x14ac:dyDescent="0.25">
      <c r="A2426" t="s">
        <v>642</v>
      </c>
      <c r="B2426" t="s">
        <v>46</v>
      </c>
      <c r="C2426" s="2">
        <f>HYPERLINK("https://sao.dolgi.msk.ru/account/1404236487/", 1404236487)</f>
        <v>1404236487</v>
      </c>
      <c r="D2426">
        <v>0</v>
      </c>
    </row>
    <row r="2427" spans="1:4" hidden="1" x14ac:dyDescent="0.25">
      <c r="A2427" t="s">
        <v>642</v>
      </c>
      <c r="B2427" t="s">
        <v>47</v>
      </c>
      <c r="C2427" s="2">
        <f>HYPERLINK("https://sao.dolgi.msk.ru/account/1404236479/", 1404236479)</f>
        <v>1404236479</v>
      </c>
      <c r="D2427">
        <v>-6452.43</v>
      </c>
    </row>
    <row r="2428" spans="1:4" hidden="1" x14ac:dyDescent="0.25">
      <c r="A2428" t="s">
        <v>642</v>
      </c>
      <c r="B2428" t="s">
        <v>48</v>
      </c>
      <c r="C2428" s="2">
        <f>HYPERLINK("https://sao.dolgi.msk.ru/account/1404236292/", 1404236292)</f>
        <v>1404236292</v>
      </c>
      <c r="D2428">
        <v>0</v>
      </c>
    </row>
    <row r="2429" spans="1:4" hidden="1" x14ac:dyDescent="0.25">
      <c r="A2429" t="s">
        <v>642</v>
      </c>
      <c r="B2429" t="s">
        <v>49</v>
      </c>
      <c r="C2429" s="2">
        <f>HYPERLINK("https://sao.dolgi.msk.ru/account/1404236743/", 1404236743)</f>
        <v>1404236743</v>
      </c>
      <c r="D2429">
        <v>0</v>
      </c>
    </row>
    <row r="2430" spans="1:4" hidden="1" x14ac:dyDescent="0.25">
      <c r="A2430" t="s">
        <v>642</v>
      </c>
      <c r="B2430" t="s">
        <v>50</v>
      </c>
      <c r="C2430" s="2">
        <f>HYPERLINK("https://sao.dolgi.msk.ru/account/1404237439/", 1404237439)</f>
        <v>1404237439</v>
      </c>
      <c r="D2430">
        <v>0</v>
      </c>
    </row>
    <row r="2431" spans="1:4" hidden="1" x14ac:dyDescent="0.25">
      <c r="A2431" t="s">
        <v>642</v>
      </c>
      <c r="B2431" t="s">
        <v>51</v>
      </c>
      <c r="C2431" s="2">
        <f>HYPERLINK("https://sao.dolgi.msk.ru/account/1404236284/", 1404236284)</f>
        <v>1404236284</v>
      </c>
      <c r="D2431">
        <v>-8434.94</v>
      </c>
    </row>
    <row r="2432" spans="1:4" hidden="1" x14ac:dyDescent="0.25">
      <c r="A2432" t="s">
        <v>642</v>
      </c>
      <c r="B2432" t="s">
        <v>52</v>
      </c>
      <c r="C2432" s="2">
        <f>HYPERLINK("https://sao.dolgi.msk.ru/account/1404237746/", 1404237746)</f>
        <v>1404237746</v>
      </c>
      <c r="D2432">
        <v>-10651.52</v>
      </c>
    </row>
    <row r="2433" spans="1:4" x14ac:dyDescent="0.25">
      <c r="A2433" t="s">
        <v>642</v>
      </c>
      <c r="B2433" t="s">
        <v>53</v>
      </c>
      <c r="C2433" s="2">
        <f>HYPERLINK("https://sao.dolgi.msk.ru/account/1404236735/", 1404236735)</f>
        <v>1404236735</v>
      </c>
      <c r="D2433">
        <v>22646.01</v>
      </c>
    </row>
    <row r="2434" spans="1:4" hidden="1" x14ac:dyDescent="0.25">
      <c r="A2434" t="s">
        <v>642</v>
      </c>
      <c r="B2434" t="s">
        <v>54</v>
      </c>
      <c r="C2434" s="2">
        <f>HYPERLINK("https://sao.dolgi.msk.ru/account/1404237025/", 1404237025)</f>
        <v>1404237025</v>
      </c>
      <c r="D2434">
        <v>0</v>
      </c>
    </row>
    <row r="2435" spans="1:4" x14ac:dyDescent="0.25">
      <c r="A2435" t="s">
        <v>642</v>
      </c>
      <c r="B2435" t="s">
        <v>55</v>
      </c>
      <c r="C2435" s="2">
        <f>HYPERLINK("https://sao.dolgi.msk.ru/account/1404237607/", 1404237607)</f>
        <v>1404237607</v>
      </c>
      <c r="D2435">
        <v>30726.46</v>
      </c>
    </row>
    <row r="2436" spans="1:4" hidden="1" x14ac:dyDescent="0.25">
      <c r="A2436" t="s">
        <v>642</v>
      </c>
      <c r="B2436" t="s">
        <v>56</v>
      </c>
      <c r="C2436" s="2">
        <f>HYPERLINK("https://sao.dolgi.msk.ru/account/1404237594/", 1404237594)</f>
        <v>1404237594</v>
      </c>
      <c r="D2436">
        <v>0</v>
      </c>
    </row>
    <row r="2437" spans="1:4" hidden="1" x14ac:dyDescent="0.25">
      <c r="A2437" t="s">
        <v>642</v>
      </c>
      <c r="B2437" t="s">
        <v>57</v>
      </c>
      <c r="C2437" s="2">
        <f>HYPERLINK("https://sao.dolgi.msk.ru/account/1404236962/", 1404236962)</f>
        <v>1404236962</v>
      </c>
      <c r="D2437">
        <v>-6615.52</v>
      </c>
    </row>
    <row r="2438" spans="1:4" hidden="1" x14ac:dyDescent="0.25">
      <c r="A2438" t="s">
        <v>642</v>
      </c>
      <c r="B2438" t="s">
        <v>58</v>
      </c>
      <c r="C2438" s="2">
        <f>HYPERLINK("https://sao.dolgi.msk.ru/account/1404236989/", 1404236989)</f>
        <v>1404236989</v>
      </c>
      <c r="D2438">
        <v>0</v>
      </c>
    </row>
    <row r="2439" spans="1:4" hidden="1" x14ac:dyDescent="0.25">
      <c r="A2439" t="s">
        <v>642</v>
      </c>
      <c r="B2439" t="s">
        <v>59</v>
      </c>
      <c r="C2439" s="2">
        <f>HYPERLINK("https://sao.dolgi.msk.ru/account/1404294994/", 1404294994)</f>
        <v>1404294994</v>
      </c>
      <c r="D2439">
        <v>0</v>
      </c>
    </row>
    <row r="2440" spans="1:4" hidden="1" x14ac:dyDescent="0.25">
      <c r="A2440" t="s">
        <v>642</v>
      </c>
      <c r="B2440" t="s">
        <v>60</v>
      </c>
      <c r="C2440" s="2">
        <f>HYPERLINK("https://sao.dolgi.msk.ru/account/1404236356/", 1404236356)</f>
        <v>1404236356</v>
      </c>
      <c r="D2440">
        <v>0</v>
      </c>
    </row>
    <row r="2441" spans="1:4" hidden="1" x14ac:dyDescent="0.25">
      <c r="A2441" t="s">
        <v>642</v>
      </c>
      <c r="B2441" t="s">
        <v>61</v>
      </c>
      <c r="C2441" s="2">
        <f>HYPERLINK("https://sao.dolgi.msk.ru/account/1404236452/", 1404236452)</f>
        <v>1404236452</v>
      </c>
      <c r="D2441">
        <v>-6203.9</v>
      </c>
    </row>
    <row r="2442" spans="1:4" x14ac:dyDescent="0.25">
      <c r="A2442" t="s">
        <v>642</v>
      </c>
      <c r="B2442" t="s">
        <v>62</v>
      </c>
      <c r="C2442" s="2">
        <f>HYPERLINK("https://sao.dolgi.msk.ru/account/1404237404/", 1404237404)</f>
        <v>1404237404</v>
      </c>
      <c r="D2442">
        <v>25166.2</v>
      </c>
    </row>
    <row r="2443" spans="1:4" hidden="1" x14ac:dyDescent="0.25">
      <c r="A2443" t="s">
        <v>642</v>
      </c>
      <c r="B2443" t="s">
        <v>63</v>
      </c>
      <c r="C2443" s="2">
        <f>HYPERLINK("https://sao.dolgi.msk.ru/account/1404236938/", 1404236938)</f>
        <v>1404236938</v>
      </c>
      <c r="D2443">
        <v>0</v>
      </c>
    </row>
    <row r="2444" spans="1:4" hidden="1" x14ac:dyDescent="0.25">
      <c r="A2444" t="s">
        <v>642</v>
      </c>
      <c r="B2444" t="s">
        <v>64</v>
      </c>
      <c r="C2444" s="2">
        <f>HYPERLINK("https://sao.dolgi.msk.ru/account/1404237578/", 1404237578)</f>
        <v>1404237578</v>
      </c>
      <c r="D2444">
        <v>0</v>
      </c>
    </row>
    <row r="2445" spans="1:4" hidden="1" x14ac:dyDescent="0.25">
      <c r="A2445" t="s">
        <v>642</v>
      </c>
      <c r="B2445" t="s">
        <v>65</v>
      </c>
      <c r="C2445" s="2">
        <f>HYPERLINK("https://sao.dolgi.msk.ru/account/1404237092/", 1404237092)</f>
        <v>1404237092</v>
      </c>
      <c r="D2445">
        <v>0</v>
      </c>
    </row>
    <row r="2446" spans="1:4" hidden="1" x14ac:dyDescent="0.25">
      <c r="A2446" t="s">
        <v>642</v>
      </c>
      <c r="B2446" t="s">
        <v>66</v>
      </c>
      <c r="C2446" s="2">
        <f>HYPERLINK("https://sao.dolgi.msk.ru/account/1404236401/", 1404236401)</f>
        <v>1404236401</v>
      </c>
      <c r="D2446">
        <v>-7404.31</v>
      </c>
    </row>
    <row r="2447" spans="1:4" hidden="1" x14ac:dyDescent="0.25">
      <c r="A2447" t="s">
        <v>642</v>
      </c>
      <c r="B2447" t="s">
        <v>67</v>
      </c>
      <c r="C2447" s="2">
        <f>HYPERLINK("https://sao.dolgi.msk.ru/account/1404237738/", 1404237738)</f>
        <v>1404237738</v>
      </c>
      <c r="D2447">
        <v>-4096.8900000000003</v>
      </c>
    </row>
    <row r="2448" spans="1:4" hidden="1" x14ac:dyDescent="0.25">
      <c r="A2448" t="s">
        <v>642</v>
      </c>
      <c r="B2448" t="s">
        <v>68</v>
      </c>
      <c r="C2448" s="2">
        <f>HYPERLINK("https://sao.dolgi.msk.ru/account/1404237156/", 1404237156)</f>
        <v>1404237156</v>
      </c>
      <c r="D2448">
        <v>0</v>
      </c>
    </row>
    <row r="2449" spans="1:4" hidden="1" x14ac:dyDescent="0.25">
      <c r="A2449" t="s">
        <v>642</v>
      </c>
      <c r="B2449" t="s">
        <v>69</v>
      </c>
      <c r="C2449" s="2">
        <f>HYPERLINK("https://sao.dolgi.msk.ru/account/1404237164/", 1404237164)</f>
        <v>1404237164</v>
      </c>
      <c r="D2449">
        <v>-8336.2800000000007</v>
      </c>
    </row>
    <row r="2450" spans="1:4" hidden="1" x14ac:dyDescent="0.25">
      <c r="A2450" t="s">
        <v>642</v>
      </c>
      <c r="B2450" t="s">
        <v>70</v>
      </c>
      <c r="C2450" s="2">
        <f>HYPERLINK("https://sao.dolgi.msk.ru/account/1404237586/", 1404237586)</f>
        <v>1404237586</v>
      </c>
      <c r="D2450">
        <v>-7798.64</v>
      </c>
    </row>
    <row r="2451" spans="1:4" hidden="1" x14ac:dyDescent="0.25">
      <c r="A2451" t="s">
        <v>642</v>
      </c>
      <c r="B2451" t="s">
        <v>71</v>
      </c>
      <c r="C2451" s="2">
        <f>HYPERLINK("https://sao.dolgi.msk.ru/account/1404236241/", 1404236241)</f>
        <v>1404236241</v>
      </c>
      <c r="D2451">
        <v>0</v>
      </c>
    </row>
    <row r="2452" spans="1:4" hidden="1" x14ac:dyDescent="0.25">
      <c r="A2452" t="s">
        <v>642</v>
      </c>
      <c r="B2452" t="s">
        <v>72</v>
      </c>
      <c r="C2452" s="2">
        <f>HYPERLINK("https://sao.dolgi.msk.ru/account/1404236954/", 1404236954)</f>
        <v>1404236954</v>
      </c>
      <c r="D2452">
        <v>-9411.86</v>
      </c>
    </row>
    <row r="2453" spans="1:4" hidden="1" x14ac:dyDescent="0.25">
      <c r="A2453" t="s">
        <v>642</v>
      </c>
      <c r="B2453" t="s">
        <v>73</v>
      </c>
      <c r="C2453" s="2">
        <f>HYPERLINK("https://sao.dolgi.msk.ru/account/1404236639/", 1404236639)</f>
        <v>1404236639</v>
      </c>
      <c r="D2453">
        <v>0</v>
      </c>
    </row>
    <row r="2454" spans="1:4" hidden="1" x14ac:dyDescent="0.25">
      <c r="A2454" t="s">
        <v>642</v>
      </c>
      <c r="B2454" t="s">
        <v>74</v>
      </c>
      <c r="C2454" s="2">
        <f>HYPERLINK("https://sao.dolgi.msk.ru/account/1404236428/", 1404236428)</f>
        <v>1404236428</v>
      </c>
      <c r="D2454">
        <v>-4681.18</v>
      </c>
    </row>
    <row r="2455" spans="1:4" hidden="1" x14ac:dyDescent="0.25">
      <c r="A2455" t="s">
        <v>642</v>
      </c>
      <c r="B2455" t="s">
        <v>75</v>
      </c>
      <c r="C2455" s="2">
        <f>HYPERLINK("https://sao.dolgi.msk.ru/account/1404237172/", 1404237172)</f>
        <v>1404237172</v>
      </c>
      <c r="D2455">
        <v>0</v>
      </c>
    </row>
    <row r="2456" spans="1:4" hidden="1" x14ac:dyDescent="0.25">
      <c r="A2456" t="s">
        <v>642</v>
      </c>
      <c r="B2456" t="s">
        <v>76</v>
      </c>
      <c r="C2456" s="2">
        <f>HYPERLINK("https://sao.dolgi.msk.ru/account/1404237412/", 1404237412)</f>
        <v>1404237412</v>
      </c>
      <c r="D2456">
        <v>0</v>
      </c>
    </row>
    <row r="2457" spans="1:4" hidden="1" x14ac:dyDescent="0.25">
      <c r="A2457" t="s">
        <v>642</v>
      </c>
      <c r="B2457" t="s">
        <v>77</v>
      </c>
      <c r="C2457" s="2">
        <f>HYPERLINK("https://sao.dolgi.msk.ru/account/1404236436/", 1404236436)</f>
        <v>1404236436</v>
      </c>
      <c r="D2457">
        <v>0</v>
      </c>
    </row>
    <row r="2458" spans="1:4" hidden="1" x14ac:dyDescent="0.25">
      <c r="A2458" t="s">
        <v>642</v>
      </c>
      <c r="B2458" t="s">
        <v>78</v>
      </c>
      <c r="C2458" s="2">
        <f>HYPERLINK("https://sao.dolgi.msk.ru/account/1404237201/", 1404237201)</f>
        <v>1404237201</v>
      </c>
      <c r="D2458">
        <v>-3197.63</v>
      </c>
    </row>
    <row r="2459" spans="1:4" hidden="1" x14ac:dyDescent="0.25">
      <c r="A2459" t="s">
        <v>642</v>
      </c>
      <c r="B2459" t="s">
        <v>79</v>
      </c>
      <c r="C2459" s="2">
        <f>HYPERLINK("https://sao.dolgi.msk.ru/account/1404237797/", 1404237797)</f>
        <v>1404237797</v>
      </c>
      <c r="D2459">
        <v>-8766.1299999999992</v>
      </c>
    </row>
    <row r="2460" spans="1:4" x14ac:dyDescent="0.25">
      <c r="A2460" t="s">
        <v>642</v>
      </c>
      <c r="B2460" t="s">
        <v>80</v>
      </c>
      <c r="C2460" s="2">
        <f>HYPERLINK("https://sao.dolgi.msk.ru/account/1404236671/", 1404236671)</f>
        <v>1404236671</v>
      </c>
      <c r="D2460">
        <v>31336.16</v>
      </c>
    </row>
    <row r="2461" spans="1:4" hidden="1" x14ac:dyDescent="0.25">
      <c r="A2461" t="s">
        <v>642</v>
      </c>
      <c r="B2461" t="s">
        <v>81</v>
      </c>
      <c r="C2461" s="2">
        <f>HYPERLINK("https://sao.dolgi.msk.ru/account/1404237236/", 1404237236)</f>
        <v>1404237236</v>
      </c>
      <c r="D2461">
        <v>0</v>
      </c>
    </row>
    <row r="2462" spans="1:4" hidden="1" x14ac:dyDescent="0.25">
      <c r="A2462" t="s">
        <v>642</v>
      </c>
      <c r="B2462" t="s">
        <v>82</v>
      </c>
      <c r="C2462" s="2">
        <f>HYPERLINK("https://sao.dolgi.msk.ru/account/1404236276/", 1404236276)</f>
        <v>1404236276</v>
      </c>
      <c r="D2462">
        <v>-4089.27</v>
      </c>
    </row>
    <row r="2463" spans="1:4" hidden="1" x14ac:dyDescent="0.25">
      <c r="A2463" t="s">
        <v>642</v>
      </c>
      <c r="B2463" t="s">
        <v>83</v>
      </c>
      <c r="C2463" s="2">
        <f>HYPERLINK("https://sao.dolgi.msk.ru/account/1404237375/", 1404237375)</f>
        <v>1404237375</v>
      </c>
      <c r="D2463">
        <v>-8028.5</v>
      </c>
    </row>
    <row r="2464" spans="1:4" hidden="1" x14ac:dyDescent="0.25">
      <c r="A2464" t="s">
        <v>642</v>
      </c>
      <c r="B2464" t="s">
        <v>84</v>
      </c>
      <c r="C2464" s="2">
        <f>HYPERLINK("https://sao.dolgi.msk.ru/account/1404236946/", 1404236946)</f>
        <v>1404236946</v>
      </c>
      <c r="D2464">
        <v>-6619.4</v>
      </c>
    </row>
    <row r="2465" spans="1:4" hidden="1" x14ac:dyDescent="0.25">
      <c r="A2465" t="s">
        <v>642</v>
      </c>
      <c r="B2465" t="s">
        <v>85</v>
      </c>
      <c r="C2465" s="2">
        <f>HYPERLINK("https://sao.dolgi.msk.ru/account/1404236567/", 1404236567)</f>
        <v>1404236567</v>
      </c>
      <c r="D2465">
        <v>-8626.3700000000008</v>
      </c>
    </row>
    <row r="2466" spans="1:4" x14ac:dyDescent="0.25">
      <c r="A2466" t="s">
        <v>642</v>
      </c>
      <c r="B2466" t="s">
        <v>86</v>
      </c>
      <c r="C2466" s="2">
        <f>HYPERLINK("https://sao.dolgi.msk.ru/account/1404236823/", 1404236823)</f>
        <v>1404236823</v>
      </c>
      <c r="D2466">
        <v>774.53</v>
      </c>
    </row>
    <row r="2467" spans="1:4" hidden="1" x14ac:dyDescent="0.25">
      <c r="A2467" t="s">
        <v>642</v>
      </c>
      <c r="B2467" t="s">
        <v>87</v>
      </c>
      <c r="C2467" s="2">
        <f>HYPERLINK("https://sao.dolgi.msk.ru/account/1404237308/", 1404237308)</f>
        <v>1404237308</v>
      </c>
      <c r="D2467">
        <v>0</v>
      </c>
    </row>
    <row r="2468" spans="1:4" hidden="1" x14ac:dyDescent="0.25">
      <c r="A2468" t="s">
        <v>642</v>
      </c>
      <c r="B2468" t="s">
        <v>88</v>
      </c>
      <c r="C2468" s="2">
        <f>HYPERLINK("https://sao.dolgi.msk.ru/account/1404236575/", 1404236575)</f>
        <v>1404236575</v>
      </c>
      <c r="D2468">
        <v>-10470.59</v>
      </c>
    </row>
    <row r="2469" spans="1:4" hidden="1" x14ac:dyDescent="0.25">
      <c r="A2469" t="s">
        <v>642</v>
      </c>
      <c r="B2469" t="s">
        <v>89</v>
      </c>
      <c r="C2469" s="2">
        <f>HYPERLINK("https://sao.dolgi.msk.ru/account/1404236209/", 1404236209)</f>
        <v>1404236209</v>
      </c>
      <c r="D2469">
        <v>-6652.49</v>
      </c>
    </row>
    <row r="2470" spans="1:4" hidden="1" x14ac:dyDescent="0.25">
      <c r="A2470" t="s">
        <v>642</v>
      </c>
      <c r="B2470" t="s">
        <v>90</v>
      </c>
      <c r="C2470" s="2">
        <f>HYPERLINK("https://sao.dolgi.msk.ru/account/1404237818/", 1404237818)</f>
        <v>1404237818</v>
      </c>
      <c r="D2470">
        <v>-7596</v>
      </c>
    </row>
    <row r="2471" spans="1:4" hidden="1" x14ac:dyDescent="0.25">
      <c r="A2471" t="s">
        <v>642</v>
      </c>
      <c r="B2471" t="s">
        <v>91</v>
      </c>
      <c r="C2471" s="2">
        <f>HYPERLINK("https://sao.dolgi.msk.ru/account/1404236372/", 1404236372)</f>
        <v>1404236372</v>
      </c>
      <c r="D2471">
        <v>-5003.4799999999996</v>
      </c>
    </row>
    <row r="2472" spans="1:4" hidden="1" x14ac:dyDescent="0.25">
      <c r="A2472" t="s">
        <v>642</v>
      </c>
      <c r="B2472" t="s">
        <v>92</v>
      </c>
      <c r="C2472" s="2">
        <f>HYPERLINK("https://sao.dolgi.msk.ru/account/1404237455/", 1404237455)</f>
        <v>1404237455</v>
      </c>
      <c r="D2472">
        <v>-6068.23</v>
      </c>
    </row>
    <row r="2473" spans="1:4" hidden="1" x14ac:dyDescent="0.25">
      <c r="A2473" t="s">
        <v>642</v>
      </c>
      <c r="B2473" t="s">
        <v>93</v>
      </c>
      <c r="C2473" s="2">
        <f>HYPERLINK("https://sao.dolgi.msk.ru/account/1404236911/", 1404236911)</f>
        <v>1404236911</v>
      </c>
      <c r="D2473">
        <v>-7695.57</v>
      </c>
    </row>
    <row r="2474" spans="1:4" hidden="1" x14ac:dyDescent="0.25">
      <c r="A2474" t="s">
        <v>642</v>
      </c>
      <c r="B2474" t="s">
        <v>94</v>
      </c>
      <c r="C2474" s="2">
        <f>HYPERLINK("https://sao.dolgi.msk.ru/account/1404236997/", 1404236997)</f>
        <v>1404236997</v>
      </c>
      <c r="D2474">
        <v>0</v>
      </c>
    </row>
    <row r="2475" spans="1:4" hidden="1" x14ac:dyDescent="0.25">
      <c r="A2475" t="s">
        <v>642</v>
      </c>
      <c r="B2475" t="s">
        <v>95</v>
      </c>
      <c r="C2475" s="2">
        <f>HYPERLINK("https://sao.dolgi.msk.ru/account/1404236508/", 1404236508)</f>
        <v>1404236508</v>
      </c>
      <c r="D2475">
        <v>-4665.4799999999996</v>
      </c>
    </row>
    <row r="2476" spans="1:4" hidden="1" x14ac:dyDescent="0.25">
      <c r="A2476" t="s">
        <v>642</v>
      </c>
      <c r="B2476" t="s">
        <v>96</v>
      </c>
      <c r="C2476" s="2">
        <f>HYPERLINK("https://sao.dolgi.msk.ru/account/1404236516/", 1404236516)</f>
        <v>1404236516</v>
      </c>
      <c r="D2476">
        <v>-9802.2800000000007</v>
      </c>
    </row>
    <row r="2477" spans="1:4" hidden="1" x14ac:dyDescent="0.25">
      <c r="A2477" t="s">
        <v>642</v>
      </c>
      <c r="B2477" t="s">
        <v>97</v>
      </c>
      <c r="C2477" s="2">
        <f>HYPERLINK("https://sao.dolgi.msk.ru/account/1404237084/", 1404237084)</f>
        <v>1404237084</v>
      </c>
      <c r="D2477">
        <v>0</v>
      </c>
    </row>
    <row r="2478" spans="1:4" hidden="1" x14ac:dyDescent="0.25">
      <c r="A2478" t="s">
        <v>642</v>
      </c>
      <c r="B2478" t="s">
        <v>98</v>
      </c>
      <c r="C2478" s="2">
        <f>HYPERLINK("https://sao.dolgi.msk.ru/account/1404237279/", 1404237279)</f>
        <v>1404237279</v>
      </c>
      <c r="D2478">
        <v>-8675.23</v>
      </c>
    </row>
    <row r="2479" spans="1:4" hidden="1" x14ac:dyDescent="0.25">
      <c r="A2479" t="s">
        <v>642</v>
      </c>
      <c r="B2479" t="s">
        <v>99</v>
      </c>
      <c r="C2479" s="2">
        <f>HYPERLINK("https://sao.dolgi.msk.ru/account/1404237332/", 1404237332)</f>
        <v>1404237332</v>
      </c>
      <c r="D2479">
        <v>-3682.88</v>
      </c>
    </row>
    <row r="2480" spans="1:4" hidden="1" x14ac:dyDescent="0.25">
      <c r="A2480" t="s">
        <v>642</v>
      </c>
      <c r="B2480" t="s">
        <v>100</v>
      </c>
      <c r="C2480" s="2">
        <f>HYPERLINK("https://sao.dolgi.msk.ru/account/1404237666/", 1404237666)</f>
        <v>1404237666</v>
      </c>
      <c r="D2480">
        <v>0</v>
      </c>
    </row>
    <row r="2481" spans="1:4" hidden="1" x14ac:dyDescent="0.25">
      <c r="A2481" t="s">
        <v>642</v>
      </c>
      <c r="B2481" t="s">
        <v>101</v>
      </c>
      <c r="C2481" s="2">
        <f>HYPERLINK("https://sao.dolgi.msk.ru/account/1404237842/", 1404237842)</f>
        <v>1404237842</v>
      </c>
      <c r="D2481">
        <v>-10116.61</v>
      </c>
    </row>
    <row r="2482" spans="1:4" hidden="1" x14ac:dyDescent="0.25">
      <c r="A2482" t="s">
        <v>642</v>
      </c>
      <c r="B2482" t="s">
        <v>102</v>
      </c>
      <c r="C2482" s="2">
        <f>HYPERLINK("https://sao.dolgi.msk.ru/account/1404236524/", 1404236524)</f>
        <v>1404236524</v>
      </c>
      <c r="D2482">
        <v>-5123.8999999999996</v>
      </c>
    </row>
    <row r="2483" spans="1:4" hidden="1" x14ac:dyDescent="0.25">
      <c r="A2483" t="s">
        <v>642</v>
      </c>
      <c r="B2483" t="s">
        <v>103</v>
      </c>
      <c r="C2483" s="2">
        <f>HYPERLINK("https://sao.dolgi.msk.ru/account/1404237463/", 1404237463)</f>
        <v>1404237463</v>
      </c>
      <c r="D2483">
        <v>0</v>
      </c>
    </row>
    <row r="2484" spans="1:4" hidden="1" x14ac:dyDescent="0.25">
      <c r="A2484" t="s">
        <v>642</v>
      </c>
      <c r="B2484" t="s">
        <v>104</v>
      </c>
      <c r="C2484" s="2">
        <f>HYPERLINK("https://sao.dolgi.msk.ru/account/1404237287/", 1404237287)</f>
        <v>1404237287</v>
      </c>
      <c r="D2484">
        <v>-6324.56</v>
      </c>
    </row>
    <row r="2485" spans="1:4" hidden="1" x14ac:dyDescent="0.25">
      <c r="A2485" t="s">
        <v>642</v>
      </c>
      <c r="B2485" t="s">
        <v>105</v>
      </c>
      <c r="C2485" s="2">
        <f>HYPERLINK("https://sao.dolgi.msk.ru/account/1404236532/", 1404236532)</f>
        <v>1404236532</v>
      </c>
      <c r="D2485">
        <v>0</v>
      </c>
    </row>
    <row r="2486" spans="1:4" hidden="1" x14ac:dyDescent="0.25">
      <c r="A2486" t="s">
        <v>642</v>
      </c>
      <c r="B2486" t="s">
        <v>106</v>
      </c>
      <c r="C2486" s="2">
        <f>HYPERLINK("https://sao.dolgi.msk.ru/account/1404237295/", 1404237295)</f>
        <v>1404237295</v>
      </c>
      <c r="D2486">
        <v>0</v>
      </c>
    </row>
    <row r="2487" spans="1:4" hidden="1" x14ac:dyDescent="0.25">
      <c r="A2487" t="s">
        <v>642</v>
      </c>
      <c r="B2487" t="s">
        <v>107</v>
      </c>
      <c r="C2487" s="2">
        <f>HYPERLINK("https://sao.dolgi.msk.ru/account/1404236313/", 1404236313)</f>
        <v>1404236313</v>
      </c>
      <c r="D2487">
        <v>-6767.45</v>
      </c>
    </row>
    <row r="2488" spans="1:4" hidden="1" x14ac:dyDescent="0.25">
      <c r="A2488" t="s">
        <v>642</v>
      </c>
      <c r="B2488" t="s">
        <v>108</v>
      </c>
      <c r="C2488" s="2">
        <f>HYPERLINK("https://sao.dolgi.msk.ru/account/1404237674/", 1404237674)</f>
        <v>1404237674</v>
      </c>
      <c r="D2488">
        <v>-8200.42</v>
      </c>
    </row>
    <row r="2489" spans="1:4" hidden="1" x14ac:dyDescent="0.25">
      <c r="A2489" t="s">
        <v>642</v>
      </c>
      <c r="B2489" t="s">
        <v>109</v>
      </c>
      <c r="C2489" s="2">
        <f>HYPERLINK("https://sao.dolgi.msk.ru/account/1404237105/", 1404237105)</f>
        <v>1404237105</v>
      </c>
      <c r="D2489">
        <v>-508.15</v>
      </c>
    </row>
    <row r="2490" spans="1:4" hidden="1" x14ac:dyDescent="0.25">
      <c r="A2490" t="s">
        <v>642</v>
      </c>
      <c r="B2490" t="s">
        <v>110</v>
      </c>
      <c r="C2490" s="2">
        <f>HYPERLINK("https://sao.dolgi.msk.ru/account/1404237113/", 1404237113)</f>
        <v>1404237113</v>
      </c>
      <c r="D2490">
        <v>-5915.65</v>
      </c>
    </row>
    <row r="2491" spans="1:4" hidden="1" x14ac:dyDescent="0.25">
      <c r="A2491" t="s">
        <v>642</v>
      </c>
      <c r="B2491" t="s">
        <v>111</v>
      </c>
      <c r="C2491" s="2">
        <f>HYPERLINK("https://sao.dolgi.msk.ru/account/1404236727/", 1404236727)</f>
        <v>1404236727</v>
      </c>
      <c r="D2491">
        <v>0</v>
      </c>
    </row>
    <row r="2492" spans="1:4" hidden="1" x14ac:dyDescent="0.25">
      <c r="A2492" t="s">
        <v>642</v>
      </c>
      <c r="B2492" t="s">
        <v>111</v>
      </c>
      <c r="C2492" s="2">
        <f>HYPERLINK("https://sao.dolgi.msk.ru/account/1404237498/", 1404237498)</f>
        <v>1404237498</v>
      </c>
      <c r="D2492">
        <v>0</v>
      </c>
    </row>
    <row r="2493" spans="1:4" hidden="1" x14ac:dyDescent="0.25">
      <c r="A2493" t="s">
        <v>642</v>
      </c>
      <c r="B2493" t="s">
        <v>112</v>
      </c>
      <c r="C2493" s="2">
        <f>HYPERLINK("https://sao.dolgi.msk.ru/account/1404237041/", 1404237041)</f>
        <v>1404237041</v>
      </c>
      <c r="D2493">
        <v>-1799.52</v>
      </c>
    </row>
    <row r="2494" spans="1:4" hidden="1" x14ac:dyDescent="0.25">
      <c r="A2494" t="s">
        <v>642</v>
      </c>
      <c r="B2494" t="s">
        <v>113</v>
      </c>
      <c r="C2494" s="2">
        <f>HYPERLINK("https://sao.dolgi.msk.ru/account/1404236217/", 1404236217)</f>
        <v>1404236217</v>
      </c>
      <c r="D2494">
        <v>-9005.49</v>
      </c>
    </row>
    <row r="2495" spans="1:4" hidden="1" x14ac:dyDescent="0.25">
      <c r="A2495" t="s">
        <v>642</v>
      </c>
      <c r="B2495" t="s">
        <v>114</v>
      </c>
      <c r="C2495" s="2">
        <f>HYPERLINK("https://sao.dolgi.msk.ru/account/1404237068/", 1404237068)</f>
        <v>1404237068</v>
      </c>
      <c r="D2495">
        <v>-6151.72</v>
      </c>
    </row>
    <row r="2496" spans="1:4" hidden="1" x14ac:dyDescent="0.25">
      <c r="A2496" t="s">
        <v>642</v>
      </c>
      <c r="B2496" t="s">
        <v>115</v>
      </c>
      <c r="C2496" s="2">
        <f>HYPERLINK("https://sao.dolgi.msk.ru/account/1404237471/", 1404237471)</f>
        <v>1404237471</v>
      </c>
      <c r="D2496">
        <v>-152.37</v>
      </c>
    </row>
    <row r="2497" spans="1:4" hidden="1" x14ac:dyDescent="0.25">
      <c r="A2497" t="s">
        <v>642</v>
      </c>
      <c r="B2497" t="s">
        <v>116</v>
      </c>
      <c r="C2497" s="2">
        <f>HYPERLINK("https://sao.dolgi.msk.ru/account/1404236858/", 1404236858)</f>
        <v>1404236858</v>
      </c>
      <c r="D2497">
        <v>-8255.3799999999992</v>
      </c>
    </row>
    <row r="2498" spans="1:4" hidden="1" x14ac:dyDescent="0.25">
      <c r="A2498" t="s">
        <v>642</v>
      </c>
      <c r="B2498" t="s">
        <v>117</v>
      </c>
      <c r="C2498" s="2">
        <f>HYPERLINK("https://sao.dolgi.msk.ru/account/1404236794/", 1404236794)</f>
        <v>1404236794</v>
      </c>
      <c r="D2498">
        <v>0</v>
      </c>
    </row>
    <row r="2499" spans="1:4" hidden="1" x14ac:dyDescent="0.25">
      <c r="A2499" t="s">
        <v>642</v>
      </c>
      <c r="B2499" t="s">
        <v>118</v>
      </c>
      <c r="C2499" s="2">
        <f>HYPERLINK("https://sao.dolgi.msk.ru/account/1404236807/", 1404236807)</f>
        <v>1404236807</v>
      </c>
      <c r="D2499">
        <v>0</v>
      </c>
    </row>
    <row r="2500" spans="1:4" x14ac:dyDescent="0.25">
      <c r="A2500" t="s">
        <v>642</v>
      </c>
      <c r="B2500" t="s">
        <v>119</v>
      </c>
      <c r="C2500" s="2">
        <f>HYPERLINK("https://sao.dolgi.msk.ru/account/1404236321/", 1404236321)</f>
        <v>1404236321</v>
      </c>
      <c r="D2500">
        <v>17734.53</v>
      </c>
    </row>
    <row r="2501" spans="1:4" hidden="1" x14ac:dyDescent="0.25">
      <c r="A2501" t="s">
        <v>642</v>
      </c>
      <c r="B2501" t="s">
        <v>120</v>
      </c>
      <c r="C2501" s="2">
        <f>HYPERLINK("https://sao.dolgi.msk.ru/account/1404237826/", 1404237826)</f>
        <v>1404237826</v>
      </c>
      <c r="D2501">
        <v>-5677.68</v>
      </c>
    </row>
    <row r="2502" spans="1:4" hidden="1" x14ac:dyDescent="0.25">
      <c r="A2502" t="s">
        <v>642</v>
      </c>
      <c r="B2502" t="s">
        <v>121</v>
      </c>
      <c r="C2502" s="2">
        <f>HYPERLINK("https://sao.dolgi.msk.ru/account/1404237834/", 1404237834)</f>
        <v>1404237834</v>
      </c>
      <c r="D2502">
        <v>0</v>
      </c>
    </row>
    <row r="2503" spans="1:4" hidden="1" x14ac:dyDescent="0.25">
      <c r="A2503" t="s">
        <v>642</v>
      </c>
      <c r="B2503" t="s">
        <v>122</v>
      </c>
      <c r="C2503" s="2">
        <f>HYPERLINK("https://sao.dolgi.msk.ru/account/1404236815/", 1404236815)</f>
        <v>1404236815</v>
      </c>
      <c r="D2503">
        <v>-6484.32</v>
      </c>
    </row>
    <row r="2504" spans="1:4" hidden="1" x14ac:dyDescent="0.25">
      <c r="A2504" t="s">
        <v>642</v>
      </c>
      <c r="B2504" t="s">
        <v>123</v>
      </c>
      <c r="C2504" s="2">
        <f>HYPERLINK("https://sao.dolgi.msk.ru/account/1404237535/", 1404237535)</f>
        <v>1404237535</v>
      </c>
      <c r="D2504">
        <v>-4777.22</v>
      </c>
    </row>
    <row r="2505" spans="1:4" x14ac:dyDescent="0.25">
      <c r="A2505" t="s">
        <v>642</v>
      </c>
      <c r="B2505" t="s">
        <v>124</v>
      </c>
      <c r="C2505" s="2">
        <f>HYPERLINK("https://sao.dolgi.msk.ru/account/1404236591/", 1404236591)</f>
        <v>1404236591</v>
      </c>
      <c r="D2505">
        <v>3296.7</v>
      </c>
    </row>
    <row r="2506" spans="1:4" hidden="1" x14ac:dyDescent="0.25">
      <c r="A2506" t="s">
        <v>642</v>
      </c>
      <c r="B2506" t="s">
        <v>125</v>
      </c>
      <c r="C2506" s="2">
        <f>HYPERLINK("https://sao.dolgi.msk.ru/account/1404237543/", 1404237543)</f>
        <v>1404237543</v>
      </c>
      <c r="D2506">
        <v>-8951.68</v>
      </c>
    </row>
    <row r="2507" spans="1:4" hidden="1" x14ac:dyDescent="0.25">
      <c r="A2507" t="s">
        <v>642</v>
      </c>
      <c r="B2507" t="s">
        <v>126</v>
      </c>
      <c r="C2507" s="2">
        <f>HYPERLINK("https://sao.dolgi.msk.ru/account/1404237121/", 1404237121)</f>
        <v>1404237121</v>
      </c>
      <c r="D2507">
        <v>-7481.53</v>
      </c>
    </row>
    <row r="2508" spans="1:4" hidden="1" x14ac:dyDescent="0.25">
      <c r="A2508" t="s">
        <v>642</v>
      </c>
      <c r="B2508" t="s">
        <v>127</v>
      </c>
      <c r="C2508" s="2">
        <f>HYPERLINK("https://sao.dolgi.msk.ru/account/1404237359/", 1404237359)</f>
        <v>1404237359</v>
      </c>
      <c r="D2508">
        <v>0</v>
      </c>
    </row>
    <row r="2509" spans="1:4" hidden="1" x14ac:dyDescent="0.25">
      <c r="A2509" t="s">
        <v>642</v>
      </c>
      <c r="B2509" t="s">
        <v>128</v>
      </c>
      <c r="C2509" s="2">
        <f>HYPERLINK("https://sao.dolgi.msk.ru/account/1404237148/", 1404237148)</f>
        <v>1404237148</v>
      </c>
      <c r="D2509">
        <v>0</v>
      </c>
    </row>
    <row r="2510" spans="1:4" hidden="1" x14ac:dyDescent="0.25">
      <c r="A2510" t="s">
        <v>642</v>
      </c>
      <c r="B2510" t="s">
        <v>129</v>
      </c>
      <c r="C2510" s="2">
        <f>HYPERLINK("https://sao.dolgi.msk.ru/account/1404237682/", 1404237682)</f>
        <v>1404237682</v>
      </c>
      <c r="D2510">
        <v>-5731.49</v>
      </c>
    </row>
    <row r="2511" spans="1:4" hidden="1" x14ac:dyDescent="0.25">
      <c r="A2511" t="s">
        <v>642</v>
      </c>
      <c r="B2511" t="s">
        <v>130</v>
      </c>
      <c r="C2511" s="2">
        <f>HYPERLINK("https://sao.dolgi.msk.ru/account/1404236225/", 1404236225)</f>
        <v>1404236225</v>
      </c>
      <c r="D2511">
        <v>-3920.29</v>
      </c>
    </row>
    <row r="2512" spans="1:4" hidden="1" x14ac:dyDescent="0.25">
      <c r="A2512" t="s">
        <v>642</v>
      </c>
      <c r="B2512" t="s">
        <v>131</v>
      </c>
      <c r="C2512" s="2">
        <f>HYPERLINK("https://sao.dolgi.msk.ru/account/1404237703/", 1404237703)</f>
        <v>1404237703</v>
      </c>
      <c r="D2512">
        <v>-3591.94</v>
      </c>
    </row>
    <row r="2513" spans="1:4" hidden="1" x14ac:dyDescent="0.25">
      <c r="A2513" t="s">
        <v>642</v>
      </c>
      <c r="B2513" t="s">
        <v>132</v>
      </c>
      <c r="C2513" s="2">
        <f>HYPERLINK("https://sao.dolgi.msk.ru/account/1404236882/", 1404236882)</f>
        <v>1404236882</v>
      </c>
      <c r="D2513">
        <v>0</v>
      </c>
    </row>
    <row r="2514" spans="1:4" hidden="1" x14ac:dyDescent="0.25">
      <c r="A2514" t="s">
        <v>642</v>
      </c>
      <c r="B2514" t="s">
        <v>133</v>
      </c>
      <c r="C2514" s="2">
        <f>HYPERLINK("https://sao.dolgi.msk.ru/account/1404236364/", 1404236364)</f>
        <v>1404236364</v>
      </c>
      <c r="D2514">
        <v>0</v>
      </c>
    </row>
    <row r="2515" spans="1:4" hidden="1" x14ac:dyDescent="0.25">
      <c r="A2515" t="s">
        <v>642</v>
      </c>
      <c r="B2515" t="s">
        <v>134</v>
      </c>
      <c r="C2515" s="2">
        <f>HYPERLINK("https://sao.dolgi.msk.ru/account/1404236903/", 1404236903)</f>
        <v>1404236903</v>
      </c>
      <c r="D2515">
        <v>-4781.4799999999996</v>
      </c>
    </row>
    <row r="2516" spans="1:4" hidden="1" x14ac:dyDescent="0.25">
      <c r="A2516" t="s">
        <v>642</v>
      </c>
      <c r="B2516" t="s">
        <v>135</v>
      </c>
      <c r="C2516" s="2">
        <f>HYPERLINK("https://sao.dolgi.msk.ru/account/1404236399/", 1404236399)</f>
        <v>1404236399</v>
      </c>
      <c r="D2516">
        <v>0</v>
      </c>
    </row>
    <row r="2517" spans="1:4" hidden="1" x14ac:dyDescent="0.25">
      <c r="A2517" t="s">
        <v>642</v>
      </c>
      <c r="B2517" t="s">
        <v>136</v>
      </c>
      <c r="C2517" s="2">
        <f>HYPERLINK("https://sao.dolgi.msk.ru/account/1404237367/", 1404237367)</f>
        <v>1404237367</v>
      </c>
      <c r="D2517">
        <v>-6428.15</v>
      </c>
    </row>
    <row r="2518" spans="1:4" hidden="1" x14ac:dyDescent="0.25">
      <c r="A2518" t="s">
        <v>642</v>
      </c>
      <c r="B2518" t="s">
        <v>137</v>
      </c>
      <c r="C2518" s="2">
        <f>HYPERLINK("https://sao.dolgi.msk.ru/account/1404237869/", 1404237869)</f>
        <v>1404237869</v>
      </c>
      <c r="D2518">
        <v>0</v>
      </c>
    </row>
    <row r="2519" spans="1:4" hidden="1" x14ac:dyDescent="0.25">
      <c r="A2519" t="s">
        <v>642</v>
      </c>
      <c r="B2519" t="s">
        <v>138</v>
      </c>
      <c r="C2519" s="2">
        <f>HYPERLINK("https://sao.dolgi.msk.ru/account/1404236604/", 1404236604)</f>
        <v>1404236604</v>
      </c>
      <c r="D2519">
        <v>0</v>
      </c>
    </row>
    <row r="2520" spans="1:4" hidden="1" x14ac:dyDescent="0.25">
      <c r="A2520" t="s">
        <v>642</v>
      </c>
      <c r="B2520" t="s">
        <v>139</v>
      </c>
      <c r="C2520" s="2">
        <f>HYPERLINK("https://sao.dolgi.msk.ru/account/1404237711/", 1404237711)</f>
        <v>1404237711</v>
      </c>
      <c r="D2520">
        <v>-4917.33</v>
      </c>
    </row>
    <row r="2521" spans="1:4" hidden="1" x14ac:dyDescent="0.25">
      <c r="A2521" t="s">
        <v>642</v>
      </c>
      <c r="B2521" t="s">
        <v>140</v>
      </c>
      <c r="C2521" s="2">
        <f>HYPERLINK("https://sao.dolgi.msk.ru/account/1404237076/", 1404237076)</f>
        <v>1404237076</v>
      </c>
      <c r="D2521">
        <v>-7933.26</v>
      </c>
    </row>
    <row r="2522" spans="1:4" x14ac:dyDescent="0.25">
      <c r="A2522" t="s">
        <v>643</v>
      </c>
      <c r="B2522" t="s">
        <v>5</v>
      </c>
      <c r="C2522" s="2">
        <f>HYPERLINK("https://sao.dolgi.msk.ru/account/1404194125/", 1404194125)</f>
        <v>1404194125</v>
      </c>
      <c r="D2522">
        <v>5254.28</v>
      </c>
    </row>
    <row r="2523" spans="1:4" hidden="1" x14ac:dyDescent="0.25">
      <c r="A2523" t="s">
        <v>643</v>
      </c>
      <c r="B2523" t="s">
        <v>6</v>
      </c>
      <c r="C2523" s="2">
        <f>HYPERLINK("https://sao.dolgi.msk.ru/account/1404194299/", 1404194299)</f>
        <v>1404194299</v>
      </c>
      <c r="D2523">
        <v>0</v>
      </c>
    </row>
    <row r="2524" spans="1:4" hidden="1" x14ac:dyDescent="0.25">
      <c r="A2524" t="s">
        <v>643</v>
      </c>
      <c r="B2524" t="s">
        <v>7</v>
      </c>
      <c r="C2524" s="2">
        <f>HYPERLINK("https://sao.dolgi.msk.ru/account/1404194475/", 1404194475)</f>
        <v>1404194475</v>
      </c>
      <c r="D2524">
        <v>-1941.48</v>
      </c>
    </row>
    <row r="2525" spans="1:4" hidden="1" x14ac:dyDescent="0.25">
      <c r="A2525" t="s">
        <v>643</v>
      </c>
      <c r="B2525" t="s">
        <v>8</v>
      </c>
      <c r="C2525" s="2">
        <f>HYPERLINK("https://sao.dolgi.msk.ru/account/1404193827/", 1404193827)</f>
        <v>1404193827</v>
      </c>
      <c r="D2525">
        <v>0</v>
      </c>
    </row>
    <row r="2526" spans="1:4" hidden="1" x14ac:dyDescent="0.25">
      <c r="A2526" t="s">
        <v>643</v>
      </c>
      <c r="B2526" t="s">
        <v>9</v>
      </c>
      <c r="C2526" s="2">
        <f>HYPERLINK("https://sao.dolgi.msk.ru/account/1404193878/", 1404193878)</f>
        <v>1404193878</v>
      </c>
      <c r="D2526">
        <v>-2918.93</v>
      </c>
    </row>
    <row r="2527" spans="1:4" hidden="1" x14ac:dyDescent="0.25">
      <c r="A2527" t="s">
        <v>643</v>
      </c>
      <c r="B2527" t="s">
        <v>10</v>
      </c>
      <c r="C2527" s="2">
        <f>HYPERLINK("https://sao.dolgi.msk.ru/account/1404193739/", 1404193739)</f>
        <v>1404193739</v>
      </c>
      <c r="D2527">
        <v>-2511.1</v>
      </c>
    </row>
    <row r="2528" spans="1:4" hidden="1" x14ac:dyDescent="0.25">
      <c r="A2528" t="s">
        <v>643</v>
      </c>
      <c r="B2528" t="s">
        <v>11</v>
      </c>
      <c r="C2528" s="2">
        <f>HYPERLINK("https://sao.dolgi.msk.ru/account/1404194192/", 1404194192)</f>
        <v>1404194192</v>
      </c>
      <c r="D2528">
        <v>0</v>
      </c>
    </row>
    <row r="2529" spans="1:4" hidden="1" x14ac:dyDescent="0.25">
      <c r="A2529" t="s">
        <v>643</v>
      </c>
      <c r="B2529" t="s">
        <v>12</v>
      </c>
      <c r="C2529" s="2">
        <f>HYPERLINK("https://sao.dolgi.msk.ru/account/1404194651/", 1404194651)</f>
        <v>1404194651</v>
      </c>
      <c r="D2529">
        <v>-4519.29</v>
      </c>
    </row>
    <row r="2530" spans="1:4" hidden="1" x14ac:dyDescent="0.25">
      <c r="A2530" t="s">
        <v>643</v>
      </c>
      <c r="B2530" t="s">
        <v>13</v>
      </c>
      <c r="C2530" s="2">
        <f>HYPERLINK("https://sao.dolgi.msk.ru/account/1404194977/", 1404194977)</f>
        <v>1404194977</v>
      </c>
      <c r="D2530">
        <v>-3342.17</v>
      </c>
    </row>
    <row r="2531" spans="1:4" x14ac:dyDescent="0.25">
      <c r="A2531" t="s">
        <v>643</v>
      </c>
      <c r="B2531" t="s">
        <v>14</v>
      </c>
      <c r="C2531" s="2">
        <f>HYPERLINK("https://sao.dolgi.msk.ru/account/1404194416/", 1404194416)</f>
        <v>1404194416</v>
      </c>
      <c r="D2531">
        <v>6943.21</v>
      </c>
    </row>
    <row r="2532" spans="1:4" hidden="1" x14ac:dyDescent="0.25">
      <c r="A2532" t="s">
        <v>643</v>
      </c>
      <c r="B2532" t="s">
        <v>15</v>
      </c>
      <c r="C2532" s="2">
        <f>HYPERLINK("https://sao.dolgi.msk.ru/account/1404194539/", 1404194539)</f>
        <v>1404194539</v>
      </c>
      <c r="D2532">
        <v>-4861.09</v>
      </c>
    </row>
    <row r="2533" spans="1:4" x14ac:dyDescent="0.25">
      <c r="A2533" t="s">
        <v>643</v>
      </c>
      <c r="B2533" t="s">
        <v>16</v>
      </c>
      <c r="C2533" s="2">
        <f>HYPERLINK("https://sao.dolgi.msk.ru/account/1404194037/", 1404194037)</f>
        <v>1404194037</v>
      </c>
      <c r="D2533">
        <v>4977.93</v>
      </c>
    </row>
    <row r="2534" spans="1:4" hidden="1" x14ac:dyDescent="0.25">
      <c r="A2534" t="s">
        <v>643</v>
      </c>
      <c r="B2534" t="s">
        <v>17</v>
      </c>
      <c r="C2534" s="2">
        <f>HYPERLINK("https://sao.dolgi.msk.ru/account/1404194774/", 1404194774)</f>
        <v>1404194774</v>
      </c>
      <c r="D2534">
        <v>-8061.24</v>
      </c>
    </row>
    <row r="2535" spans="1:4" x14ac:dyDescent="0.25">
      <c r="A2535" t="s">
        <v>643</v>
      </c>
      <c r="B2535" t="s">
        <v>18</v>
      </c>
      <c r="C2535" s="2">
        <f>HYPERLINK("https://sao.dolgi.msk.ru/account/1404194934/", 1404194934)</f>
        <v>1404194934</v>
      </c>
      <c r="D2535">
        <v>25050.27</v>
      </c>
    </row>
    <row r="2536" spans="1:4" hidden="1" x14ac:dyDescent="0.25">
      <c r="A2536" t="s">
        <v>643</v>
      </c>
      <c r="B2536" t="s">
        <v>19</v>
      </c>
      <c r="C2536" s="2">
        <f>HYPERLINK("https://sao.dolgi.msk.ru/account/1404194547/", 1404194547)</f>
        <v>1404194547</v>
      </c>
      <c r="D2536">
        <v>-7730.61</v>
      </c>
    </row>
    <row r="2537" spans="1:4" hidden="1" x14ac:dyDescent="0.25">
      <c r="A2537" t="s">
        <v>643</v>
      </c>
      <c r="B2537" t="s">
        <v>20</v>
      </c>
      <c r="C2537" s="2">
        <f>HYPERLINK("https://sao.dolgi.msk.ru/account/1404194942/", 1404194942)</f>
        <v>1404194942</v>
      </c>
      <c r="D2537">
        <v>0</v>
      </c>
    </row>
    <row r="2538" spans="1:4" x14ac:dyDescent="0.25">
      <c r="A2538" t="s">
        <v>643</v>
      </c>
      <c r="B2538" t="s">
        <v>21</v>
      </c>
      <c r="C2538" s="2">
        <f>HYPERLINK("https://sao.dolgi.msk.ru/account/1404194555/", 1404194555)</f>
        <v>1404194555</v>
      </c>
      <c r="D2538">
        <v>2167.7800000000002</v>
      </c>
    </row>
    <row r="2539" spans="1:4" hidden="1" x14ac:dyDescent="0.25">
      <c r="A2539" t="s">
        <v>643</v>
      </c>
      <c r="B2539" t="s">
        <v>22</v>
      </c>
      <c r="C2539" s="2">
        <f>HYPERLINK("https://sao.dolgi.msk.ru/account/1404194045/", 1404194045)</f>
        <v>1404194045</v>
      </c>
      <c r="D2539">
        <v>0</v>
      </c>
    </row>
    <row r="2540" spans="1:4" hidden="1" x14ac:dyDescent="0.25">
      <c r="A2540" t="s">
        <v>643</v>
      </c>
      <c r="B2540" t="s">
        <v>23</v>
      </c>
      <c r="C2540" s="2">
        <f>HYPERLINK("https://sao.dolgi.msk.ru/account/1404194782/", 1404194782)</f>
        <v>1404194782</v>
      </c>
      <c r="D2540">
        <v>0</v>
      </c>
    </row>
    <row r="2541" spans="1:4" hidden="1" x14ac:dyDescent="0.25">
      <c r="A2541" t="s">
        <v>643</v>
      </c>
      <c r="B2541" t="s">
        <v>24</v>
      </c>
      <c r="C2541" s="2">
        <f>HYPERLINK("https://sao.dolgi.msk.ru/account/1404194301/", 1404194301)</f>
        <v>1404194301</v>
      </c>
      <c r="D2541">
        <v>-2296.59</v>
      </c>
    </row>
    <row r="2542" spans="1:4" hidden="1" x14ac:dyDescent="0.25">
      <c r="A2542" t="s">
        <v>643</v>
      </c>
      <c r="B2542" t="s">
        <v>24</v>
      </c>
      <c r="C2542" s="2">
        <f>HYPERLINK("https://sao.dolgi.msk.ru/account/1404194336/", 1404194336)</f>
        <v>1404194336</v>
      </c>
      <c r="D2542">
        <v>-2630.16</v>
      </c>
    </row>
    <row r="2543" spans="1:4" x14ac:dyDescent="0.25">
      <c r="A2543" t="s">
        <v>643</v>
      </c>
      <c r="B2543" t="s">
        <v>25</v>
      </c>
      <c r="C2543" s="2">
        <f>HYPERLINK("https://sao.dolgi.msk.ru/account/1404194563/", 1404194563)</f>
        <v>1404194563</v>
      </c>
      <c r="D2543">
        <v>5414.25</v>
      </c>
    </row>
    <row r="2544" spans="1:4" hidden="1" x14ac:dyDescent="0.25">
      <c r="A2544" t="s">
        <v>643</v>
      </c>
      <c r="B2544" t="s">
        <v>26</v>
      </c>
      <c r="C2544" s="2">
        <f>HYPERLINK("https://sao.dolgi.msk.ru/account/1404194328/", 1404194328)</f>
        <v>1404194328</v>
      </c>
      <c r="D2544">
        <v>-5932.79</v>
      </c>
    </row>
    <row r="2545" spans="1:4" hidden="1" x14ac:dyDescent="0.25">
      <c r="A2545" t="s">
        <v>643</v>
      </c>
      <c r="B2545" t="s">
        <v>27</v>
      </c>
      <c r="C2545" s="2">
        <f>HYPERLINK("https://sao.dolgi.msk.ru/account/1404193691/", 1404193691)</f>
        <v>1404193691</v>
      </c>
      <c r="D2545">
        <v>-4325.58</v>
      </c>
    </row>
    <row r="2546" spans="1:4" hidden="1" x14ac:dyDescent="0.25">
      <c r="A2546" t="s">
        <v>643</v>
      </c>
      <c r="B2546" t="s">
        <v>28</v>
      </c>
      <c r="C2546" s="2">
        <f>HYPERLINK("https://sao.dolgi.msk.ru/account/1404194969/", 1404194969)</f>
        <v>1404194969</v>
      </c>
      <c r="D2546">
        <v>-5814.17</v>
      </c>
    </row>
    <row r="2547" spans="1:4" hidden="1" x14ac:dyDescent="0.25">
      <c r="A2547" t="s">
        <v>643</v>
      </c>
      <c r="B2547" t="s">
        <v>29</v>
      </c>
      <c r="C2547" s="2">
        <f>HYPERLINK("https://sao.dolgi.msk.ru/account/1404194694/", 1404194694)</f>
        <v>1404194694</v>
      </c>
      <c r="D2547">
        <v>-4818.25</v>
      </c>
    </row>
    <row r="2548" spans="1:4" hidden="1" x14ac:dyDescent="0.25">
      <c r="A2548" t="s">
        <v>643</v>
      </c>
      <c r="B2548" t="s">
        <v>30</v>
      </c>
      <c r="C2548" s="2">
        <f>HYPERLINK("https://sao.dolgi.msk.ru/account/1404194707/", 1404194707)</f>
        <v>1404194707</v>
      </c>
      <c r="D2548">
        <v>0</v>
      </c>
    </row>
    <row r="2549" spans="1:4" x14ac:dyDescent="0.25">
      <c r="A2549" t="s">
        <v>643</v>
      </c>
      <c r="B2549" t="s">
        <v>31</v>
      </c>
      <c r="C2549" s="2">
        <f>HYPERLINK("https://sao.dolgi.msk.ru/account/1404193966/", 1404193966)</f>
        <v>1404193966</v>
      </c>
      <c r="D2549">
        <v>1551.4</v>
      </c>
    </row>
    <row r="2550" spans="1:4" x14ac:dyDescent="0.25">
      <c r="A2550" t="s">
        <v>643</v>
      </c>
      <c r="B2550" t="s">
        <v>32</v>
      </c>
      <c r="C2550" s="2">
        <f>HYPERLINK("https://sao.dolgi.msk.ru/account/1404194256/", 1404194256)</f>
        <v>1404194256</v>
      </c>
      <c r="D2550">
        <v>10373.540000000001</v>
      </c>
    </row>
    <row r="2551" spans="1:4" hidden="1" x14ac:dyDescent="0.25">
      <c r="A2551" t="s">
        <v>643</v>
      </c>
      <c r="B2551" t="s">
        <v>33</v>
      </c>
      <c r="C2551" s="2">
        <f>HYPERLINK("https://sao.dolgi.msk.ru/account/1404194854/", 1404194854)</f>
        <v>1404194854</v>
      </c>
      <c r="D2551">
        <v>-6012.05</v>
      </c>
    </row>
    <row r="2552" spans="1:4" hidden="1" x14ac:dyDescent="0.25">
      <c r="A2552" t="s">
        <v>643</v>
      </c>
      <c r="B2552" t="s">
        <v>34</v>
      </c>
      <c r="C2552" s="2">
        <f>HYPERLINK("https://sao.dolgi.msk.ru/account/1404193819/", 1404193819)</f>
        <v>1404193819</v>
      </c>
      <c r="D2552">
        <v>0</v>
      </c>
    </row>
    <row r="2553" spans="1:4" hidden="1" x14ac:dyDescent="0.25">
      <c r="A2553" t="s">
        <v>643</v>
      </c>
      <c r="B2553" t="s">
        <v>35</v>
      </c>
      <c r="C2553" s="2">
        <f>HYPERLINK("https://sao.dolgi.msk.ru/account/1404193982/", 1404193982)</f>
        <v>1404193982</v>
      </c>
      <c r="D2553">
        <v>-5512.41</v>
      </c>
    </row>
    <row r="2554" spans="1:4" x14ac:dyDescent="0.25">
      <c r="A2554" t="s">
        <v>643</v>
      </c>
      <c r="B2554" t="s">
        <v>36</v>
      </c>
      <c r="C2554" s="2">
        <f>HYPERLINK("https://sao.dolgi.msk.ru/account/1404194483/", 1404194483)</f>
        <v>1404194483</v>
      </c>
      <c r="D2554">
        <v>12630.39</v>
      </c>
    </row>
    <row r="2555" spans="1:4" x14ac:dyDescent="0.25">
      <c r="A2555" t="s">
        <v>643</v>
      </c>
      <c r="B2555" t="s">
        <v>37</v>
      </c>
      <c r="C2555" s="2">
        <f>HYPERLINK("https://sao.dolgi.msk.ru/account/1404194002/", 1404194002)</f>
        <v>1404194002</v>
      </c>
      <c r="D2555">
        <v>2359.54</v>
      </c>
    </row>
    <row r="2556" spans="1:4" hidden="1" x14ac:dyDescent="0.25">
      <c r="A2556" t="s">
        <v>643</v>
      </c>
      <c r="B2556" t="s">
        <v>38</v>
      </c>
      <c r="C2556" s="2">
        <f>HYPERLINK("https://sao.dolgi.msk.ru/account/1404195048/", 1404195048)</f>
        <v>1404195048</v>
      </c>
      <c r="D2556">
        <v>0</v>
      </c>
    </row>
    <row r="2557" spans="1:4" hidden="1" x14ac:dyDescent="0.25">
      <c r="A2557" t="s">
        <v>643</v>
      </c>
      <c r="B2557" t="s">
        <v>39</v>
      </c>
      <c r="C2557" s="2">
        <f>HYPERLINK("https://sao.dolgi.msk.ru/account/1404194862/", 1404194862)</f>
        <v>1404194862</v>
      </c>
      <c r="D2557">
        <v>0</v>
      </c>
    </row>
    <row r="2558" spans="1:4" x14ac:dyDescent="0.25">
      <c r="A2558" t="s">
        <v>643</v>
      </c>
      <c r="B2558" t="s">
        <v>40</v>
      </c>
      <c r="C2558" s="2">
        <f>HYPERLINK("https://sao.dolgi.msk.ru/account/1404194889/", 1404194889)</f>
        <v>1404194889</v>
      </c>
      <c r="D2558">
        <v>7857.75</v>
      </c>
    </row>
    <row r="2559" spans="1:4" hidden="1" x14ac:dyDescent="0.25">
      <c r="A2559" t="s">
        <v>643</v>
      </c>
      <c r="B2559" t="s">
        <v>41</v>
      </c>
      <c r="C2559" s="2">
        <f>HYPERLINK("https://sao.dolgi.msk.ru/account/1404194491/", 1404194491)</f>
        <v>1404194491</v>
      </c>
      <c r="D2559">
        <v>0</v>
      </c>
    </row>
    <row r="2560" spans="1:4" hidden="1" x14ac:dyDescent="0.25">
      <c r="A2560" t="s">
        <v>643</v>
      </c>
      <c r="B2560" t="s">
        <v>42</v>
      </c>
      <c r="C2560" s="2">
        <f>HYPERLINK("https://sao.dolgi.msk.ru/account/1404194731/", 1404194731)</f>
        <v>1404194731</v>
      </c>
      <c r="D2560">
        <v>-743.35</v>
      </c>
    </row>
    <row r="2561" spans="1:4" hidden="1" x14ac:dyDescent="0.25">
      <c r="A2561" t="s">
        <v>643</v>
      </c>
      <c r="B2561" t="s">
        <v>43</v>
      </c>
      <c r="C2561" s="2">
        <f>HYPERLINK("https://sao.dolgi.msk.ru/account/1404195056/", 1404195056)</f>
        <v>1404195056</v>
      </c>
      <c r="D2561">
        <v>-5283.18</v>
      </c>
    </row>
    <row r="2562" spans="1:4" x14ac:dyDescent="0.25">
      <c r="A2562" t="s">
        <v>643</v>
      </c>
      <c r="B2562" t="s">
        <v>44</v>
      </c>
      <c r="C2562" s="2">
        <f>HYPERLINK("https://sao.dolgi.msk.ru/account/1404194504/", 1404194504)</f>
        <v>1404194504</v>
      </c>
      <c r="D2562">
        <v>31864.87</v>
      </c>
    </row>
    <row r="2563" spans="1:4" hidden="1" x14ac:dyDescent="0.25">
      <c r="A2563" t="s">
        <v>643</v>
      </c>
      <c r="B2563" t="s">
        <v>45</v>
      </c>
      <c r="C2563" s="2">
        <f>HYPERLINK("https://sao.dolgi.msk.ru/account/1404194512/", 1404194512)</f>
        <v>1404194512</v>
      </c>
      <c r="D2563">
        <v>-5089.46</v>
      </c>
    </row>
    <row r="2564" spans="1:4" hidden="1" x14ac:dyDescent="0.25">
      <c r="A2564" t="s">
        <v>643</v>
      </c>
      <c r="B2564" t="s">
        <v>46</v>
      </c>
      <c r="C2564" s="2">
        <f>HYPERLINK("https://sao.dolgi.msk.ru/account/1404194758/", 1404194758)</f>
        <v>1404194758</v>
      </c>
      <c r="D2564">
        <v>-7932.18</v>
      </c>
    </row>
    <row r="2565" spans="1:4" x14ac:dyDescent="0.25">
      <c r="A2565" t="s">
        <v>643</v>
      </c>
      <c r="B2565" t="s">
        <v>47</v>
      </c>
      <c r="C2565" s="2">
        <f>HYPERLINK("https://sao.dolgi.msk.ru/account/1404194897/", 1404194897)</f>
        <v>1404194897</v>
      </c>
      <c r="D2565">
        <v>6180.52</v>
      </c>
    </row>
    <row r="2566" spans="1:4" hidden="1" x14ac:dyDescent="0.25">
      <c r="A2566" t="s">
        <v>643</v>
      </c>
      <c r="B2566" t="s">
        <v>48</v>
      </c>
      <c r="C2566" s="2">
        <f>HYPERLINK("https://sao.dolgi.msk.ru/account/1404194918/", 1404194918)</f>
        <v>1404194918</v>
      </c>
      <c r="D2566">
        <v>-1874.25</v>
      </c>
    </row>
    <row r="2567" spans="1:4" hidden="1" x14ac:dyDescent="0.25">
      <c r="A2567" t="s">
        <v>643</v>
      </c>
      <c r="B2567" t="s">
        <v>49</v>
      </c>
      <c r="C2567" s="2">
        <f>HYPERLINK("https://sao.dolgi.msk.ru/account/1404194029/", 1404194029)</f>
        <v>1404194029</v>
      </c>
      <c r="D2567">
        <v>-4156.4799999999996</v>
      </c>
    </row>
    <row r="2568" spans="1:4" x14ac:dyDescent="0.25">
      <c r="A2568" t="s">
        <v>643</v>
      </c>
      <c r="B2568" t="s">
        <v>50</v>
      </c>
      <c r="C2568" s="2">
        <f>HYPERLINK("https://sao.dolgi.msk.ru/account/1404194264/", 1404194264)</f>
        <v>1404194264</v>
      </c>
      <c r="D2568">
        <v>4764.16</v>
      </c>
    </row>
    <row r="2569" spans="1:4" x14ac:dyDescent="0.25">
      <c r="A2569" t="s">
        <v>643</v>
      </c>
      <c r="B2569" t="s">
        <v>51</v>
      </c>
      <c r="C2569" s="2">
        <f>HYPERLINK("https://sao.dolgi.msk.ru/account/1404194619/", 1404194619)</f>
        <v>1404194619</v>
      </c>
      <c r="D2569">
        <v>27343.13</v>
      </c>
    </row>
    <row r="2570" spans="1:4" hidden="1" x14ac:dyDescent="0.25">
      <c r="A2570" t="s">
        <v>643</v>
      </c>
      <c r="B2570" t="s">
        <v>52</v>
      </c>
      <c r="C2570" s="2">
        <f>HYPERLINK("https://sao.dolgi.msk.ru/account/1404193851/", 1404193851)</f>
        <v>1404193851</v>
      </c>
      <c r="D2570">
        <v>-5487.91</v>
      </c>
    </row>
    <row r="2571" spans="1:4" hidden="1" x14ac:dyDescent="0.25">
      <c r="A2571" t="s">
        <v>643</v>
      </c>
      <c r="B2571" t="s">
        <v>53</v>
      </c>
      <c r="C2571" s="2">
        <f>HYPERLINK("https://sao.dolgi.msk.ru/account/1404194061/", 1404194061)</f>
        <v>1404194061</v>
      </c>
      <c r="D2571">
        <v>-7920.08</v>
      </c>
    </row>
    <row r="2572" spans="1:4" hidden="1" x14ac:dyDescent="0.25">
      <c r="A2572" t="s">
        <v>643</v>
      </c>
      <c r="B2572" t="s">
        <v>54</v>
      </c>
      <c r="C2572" s="2">
        <f>HYPERLINK("https://sao.dolgi.msk.ru/account/1404194088/", 1404194088)</f>
        <v>1404194088</v>
      </c>
      <c r="D2572">
        <v>-7421.31</v>
      </c>
    </row>
    <row r="2573" spans="1:4" hidden="1" x14ac:dyDescent="0.25">
      <c r="A2573" t="s">
        <v>643</v>
      </c>
      <c r="B2573" t="s">
        <v>55</v>
      </c>
      <c r="C2573" s="2">
        <f>HYPERLINK("https://sao.dolgi.msk.ru/account/1404194096/", 1404194096)</f>
        <v>1404194096</v>
      </c>
      <c r="D2573">
        <v>-3244.84</v>
      </c>
    </row>
    <row r="2574" spans="1:4" x14ac:dyDescent="0.25">
      <c r="A2574" t="s">
        <v>643</v>
      </c>
      <c r="B2574" t="s">
        <v>56</v>
      </c>
      <c r="C2574" s="2">
        <f>HYPERLINK("https://sao.dolgi.msk.ru/account/1404193886/", 1404193886)</f>
        <v>1404193886</v>
      </c>
      <c r="D2574">
        <v>4872.84</v>
      </c>
    </row>
    <row r="2575" spans="1:4" hidden="1" x14ac:dyDescent="0.25">
      <c r="A2575" t="s">
        <v>643</v>
      </c>
      <c r="B2575" t="s">
        <v>57</v>
      </c>
      <c r="C2575" s="2">
        <f>HYPERLINK("https://sao.dolgi.msk.ru/account/1404193894/", 1404193894)</f>
        <v>1404193894</v>
      </c>
      <c r="D2575">
        <v>-4768.46</v>
      </c>
    </row>
    <row r="2576" spans="1:4" hidden="1" x14ac:dyDescent="0.25">
      <c r="A2576" t="s">
        <v>643</v>
      </c>
      <c r="B2576" t="s">
        <v>58</v>
      </c>
      <c r="C2576" s="2">
        <f>HYPERLINK("https://sao.dolgi.msk.ru/account/1404193907/", 1404193907)</f>
        <v>1404193907</v>
      </c>
      <c r="D2576">
        <v>0</v>
      </c>
    </row>
    <row r="2577" spans="1:4" hidden="1" x14ac:dyDescent="0.25">
      <c r="A2577" t="s">
        <v>643</v>
      </c>
      <c r="B2577" t="s">
        <v>59</v>
      </c>
      <c r="C2577" s="2">
        <f>HYPERLINK("https://sao.dolgi.msk.ru/account/1404193915/", 1404193915)</f>
        <v>1404193915</v>
      </c>
      <c r="D2577">
        <v>-12969.97</v>
      </c>
    </row>
    <row r="2578" spans="1:4" x14ac:dyDescent="0.25">
      <c r="A2578" t="s">
        <v>643</v>
      </c>
      <c r="B2578" t="s">
        <v>60</v>
      </c>
      <c r="C2578" s="2">
        <f>HYPERLINK("https://sao.dolgi.msk.ru/account/1404194627/", 1404194627)</f>
        <v>1404194627</v>
      </c>
      <c r="D2578">
        <v>634.69000000000005</v>
      </c>
    </row>
    <row r="2579" spans="1:4" hidden="1" x14ac:dyDescent="0.25">
      <c r="A2579" t="s">
        <v>643</v>
      </c>
      <c r="B2579" t="s">
        <v>61</v>
      </c>
      <c r="C2579" s="2">
        <f>HYPERLINK("https://sao.dolgi.msk.ru/account/1404193712/", 1404193712)</f>
        <v>1404193712</v>
      </c>
      <c r="D2579">
        <v>-6542.51</v>
      </c>
    </row>
    <row r="2580" spans="1:4" x14ac:dyDescent="0.25">
      <c r="A2580" t="s">
        <v>643</v>
      </c>
      <c r="B2580" t="s">
        <v>62</v>
      </c>
      <c r="C2580" s="2">
        <f>HYPERLINK("https://sao.dolgi.msk.ru/account/1404194993/", 1404194993)</f>
        <v>1404194993</v>
      </c>
      <c r="D2580">
        <v>4248.95</v>
      </c>
    </row>
    <row r="2581" spans="1:4" x14ac:dyDescent="0.25">
      <c r="A2581" t="s">
        <v>643</v>
      </c>
      <c r="B2581" t="s">
        <v>63</v>
      </c>
      <c r="C2581" s="2">
        <f>HYPERLINK("https://sao.dolgi.msk.ru/account/1404195005/", 1404195005)</f>
        <v>1404195005</v>
      </c>
      <c r="D2581">
        <v>977.98</v>
      </c>
    </row>
    <row r="2582" spans="1:4" hidden="1" x14ac:dyDescent="0.25">
      <c r="A2582" t="s">
        <v>643</v>
      </c>
      <c r="B2582" t="s">
        <v>64</v>
      </c>
      <c r="C2582" s="2">
        <f>HYPERLINK("https://sao.dolgi.msk.ru/account/1404194408/", 1404194408)</f>
        <v>1404194408</v>
      </c>
      <c r="D2582">
        <v>-4677.28</v>
      </c>
    </row>
    <row r="2583" spans="1:4" hidden="1" x14ac:dyDescent="0.25">
      <c r="A2583" t="s">
        <v>643</v>
      </c>
      <c r="B2583" t="s">
        <v>65</v>
      </c>
      <c r="C2583" s="2">
        <f>HYPERLINK("https://sao.dolgi.msk.ru/account/1404193747/", 1404193747)</f>
        <v>1404193747</v>
      </c>
      <c r="D2583">
        <v>-3759.02</v>
      </c>
    </row>
    <row r="2584" spans="1:4" hidden="1" x14ac:dyDescent="0.25">
      <c r="A2584" t="s">
        <v>643</v>
      </c>
      <c r="B2584" t="s">
        <v>66</v>
      </c>
      <c r="C2584" s="2">
        <f>HYPERLINK("https://sao.dolgi.msk.ru/account/1404194184/", 1404194184)</f>
        <v>1404194184</v>
      </c>
      <c r="D2584">
        <v>-7424.67</v>
      </c>
    </row>
    <row r="2585" spans="1:4" hidden="1" x14ac:dyDescent="0.25">
      <c r="A2585" t="s">
        <v>643</v>
      </c>
      <c r="B2585" t="s">
        <v>67</v>
      </c>
      <c r="C2585" s="2">
        <f>HYPERLINK("https://sao.dolgi.msk.ru/account/1404193755/", 1404193755)</f>
        <v>1404193755</v>
      </c>
      <c r="D2585">
        <v>-7447.54</v>
      </c>
    </row>
    <row r="2586" spans="1:4" hidden="1" x14ac:dyDescent="0.25">
      <c r="A2586" t="s">
        <v>643</v>
      </c>
      <c r="B2586" t="s">
        <v>68</v>
      </c>
      <c r="C2586" s="2">
        <f>HYPERLINK("https://sao.dolgi.msk.ru/account/1404195013/", 1404195013)</f>
        <v>1404195013</v>
      </c>
      <c r="D2586">
        <v>-6612.29</v>
      </c>
    </row>
    <row r="2587" spans="1:4" hidden="1" x14ac:dyDescent="0.25">
      <c r="A2587" t="s">
        <v>643</v>
      </c>
      <c r="B2587" t="s">
        <v>69</v>
      </c>
      <c r="C2587" s="2">
        <f>HYPERLINK("https://sao.dolgi.msk.ru/account/1404194635/", 1404194635)</f>
        <v>1404194635</v>
      </c>
      <c r="D2587">
        <v>0</v>
      </c>
    </row>
    <row r="2588" spans="1:4" hidden="1" x14ac:dyDescent="0.25">
      <c r="A2588" t="s">
        <v>643</v>
      </c>
      <c r="B2588" t="s">
        <v>70</v>
      </c>
      <c r="C2588" s="2">
        <f>HYPERLINK("https://sao.dolgi.msk.ru/account/1404194643/", 1404194643)</f>
        <v>1404194643</v>
      </c>
      <c r="D2588">
        <v>0</v>
      </c>
    </row>
    <row r="2589" spans="1:4" hidden="1" x14ac:dyDescent="0.25">
      <c r="A2589" t="s">
        <v>643</v>
      </c>
      <c r="B2589" t="s">
        <v>71</v>
      </c>
      <c r="C2589" s="2">
        <f>HYPERLINK("https://sao.dolgi.msk.ru/account/1404193763/", 1404193763)</f>
        <v>1404193763</v>
      </c>
      <c r="D2589">
        <v>-5984.76</v>
      </c>
    </row>
    <row r="2590" spans="1:4" hidden="1" x14ac:dyDescent="0.25">
      <c r="A2590" t="s">
        <v>643</v>
      </c>
      <c r="B2590" t="s">
        <v>72</v>
      </c>
      <c r="C2590" s="2">
        <f>HYPERLINK("https://sao.dolgi.msk.ru/account/1404194811/", 1404194811)</f>
        <v>1404194811</v>
      </c>
      <c r="D2590">
        <v>-5965.56</v>
      </c>
    </row>
    <row r="2591" spans="1:4" x14ac:dyDescent="0.25">
      <c r="A2591" t="s">
        <v>643</v>
      </c>
      <c r="B2591" t="s">
        <v>73</v>
      </c>
      <c r="C2591" s="2">
        <f>HYPERLINK("https://sao.dolgi.msk.ru/account/1404195021/", 1404195021)</f>
        <v>1404195021</v>
      </c>
      <c r="D2591">
        <v>5623.8</v>
      </c>
    </row>
    <row r="2592" spans="1:4" hidden="1" x14ac:dyDescent="0.25">
      <c r="A2592" t="s">
        <v>643</v>
      </c>
      <c r="B2592" t="s">
        <v>74</v>
      </c>
      <c r="C2592" s="2">
        <f>HYPERLINK("https://sao.dolgi.msk.ru/account/1404194205/", 1404194205)</f>
        <v>1404194205</v>
      </c>
      <c r="D2592">
        <v>0</v>
      </c>
    </row>
    <row r="2593" spans="1:4" hidden="1" x14ac:dyDescent="0.25">
      <c r="A2593" t="s">
        <v>643</v>
      </c>
      <c r="B2593" t="s">
        <v>75</v>
      </c>
      <c r="C2593" s="2">
        <f>HYPERLINK("https://sao.dolgi.msk.ru/account/1404193923/", 1404193923)</f>
        <v>1404193923</v>
      </c>
      <c r="D2593">
        <v>-5678.73</v>
      </c>
    </row>
    <row r="2594" spans="1:4" hidden="1" x14ac:dyDescent="0.25">
      <c r="A2594" t="s">
        <v>643</v>
      </c>
      <c r="B2594" t="s">
        <v>76</v>
      </c>
      <c r="C2594" s="2">
        <f>HYPERLINK("https://sao.dolgi.msk.ru/account/1404194213/", 1404194213)</f>
        <v>1404194213</v>
      </c>
      <c r="D2594">
        <v>-3579.23</v>
      </c>
    </row>
    <row r="2595" spans="1:4" x14ac:dyDescent="0.25">
      <c r="A2595" t="s">
        <v>643</v>
      </c>
      <c r="B2595" t="s">
        <v>77</v>
      </c>
      <c r="C2595" s="2">
        <f>HYPERLINK("https://sao.dolgi.msk.ru/account/1404193931/", 1404193931)</f>
        <v>1404193931</v>
      </c>
      <c r="D2595">
        <v>26621.29</v>
      </c>
    </row>
    <row r="2596" spans="1:4" hidden="1" x14ac:dyDescent="0.25">
      <c r="A2596" t="s">
        <v>643</v>
      </c>
      <c r="B2596" t="s">
        <v>78</v>
      </c>
      <c r="C2596" s="2">
        <f>HYPERLINK("https://sao.dolgi.msk.ru/account/1404193771/", 1404193771)</f>
        <v>1404193771</v>
      </c>
      <c r="D2596">
        <v>-1159.3699999999999</v>
      </c>
    </row>
    <row r="2597" spans="1:4" x14ac:dyDescent="0.25">
      <c r="A2597" t="s">
        <v>643</v>
      </c>
      <c r="B2597" t="s">
        <v>79</v>
      </c>
      <c r="C2597" s="2">
        <f>HYPERLINK("https://sao.dolgi.msk.ru/account/1404194109/", 1404194109)</f>
        <v>1404194109</v>
      </c>
      <c r="D2597">
        <v>8675.85</v>
      </c>
    </row>
    <row r="2598" spans="1:4" x14ac:dyDescent="0.25">
      <c r="A2598" t="s">
        <v>643</v>
      </c>
      <c r="B2598" t="s">
        <v>80</v>
      </c>
      <c r="C2598" s="2">
        <f>HYPERLINK("https://sao.dolgi.msk.ru/account/1404194117/", 1404194117)</f>
        <v>1404194117</v>
      </c>
      <c r="D2598">
        <v>33534.620000000003</v>
      </c>
    </row>
    <row r="2599" spans="1:4" x14ac:dyDescent="0.25">
      <c r="A2599" t="s">
        <v>643</v>
      </c>
      <c r="B2599" t="s">
        <v>81</v>
      </c>
      <c r="C2599" s="2">
        <f>HYPERLINK("https://sao.dolgi.msk.ru/account/1404193974/", 1404193974)</f>
        <v>1404193974</v>
      </c>
      <c r="D2599">
        <v>28070.38</v>
      </c>
    </row>
    <row r="2600" spans="1:4" hidden="1" x14ac:dyDescent="0.25">
      <c r="A2600" t="s">
        <v>643</v>
      </c>
      <c r="B2600" t="s">
        <v>82</v>
      </c>
      <c r="C2600" s="2">
        <f>HYPERLINK("https://sao.dolgi.msk.ru/account/1404194221/", 1404194221)</f>
        <v>1404194221</v>
      </c>
      <c r="D2600">
        <v>0</v>
      </c>
    </row>
    <row r="2601" spans="1:4" hidden="1" x14ac:dyDescent="0.25">
      <c r="A2601" t="s">
        <v>643</v>
      </c>
      <c r="B2601" t="s">
        <v>83</v>
      </c>
      <c r="C2601" s="2">
        <f>HYPERLINK("https://sao.dolgi.msk.ru/account/1404194838/", 1404194838)</f>
        <v>1404194838</v>
      </c>
      <c r="D2601">
        <v>-3057.42</v>
      </c>
    </row>
    <row r="2602" spans="1:4" hidden="1" x14ac:dyDescent="0.25">
      <c r="A2602" t="s">
        <v>643</v>
      </c>
      <c r="B2602" t="s">
        <v>84</v>
      </c>
      <c r="C2602" s="2">
        <f>HYPERLINK("https://sao.dolgi.msk.ru/account/1404194846/", 1404194846)</f>
        <v>1404194846</v>
      </c>
      <c r="D2602">
        <v>-1658.18</v>
      </c>
    </row>
    <row r="2603" spans="1:4" hidden="1" x14ac:dyDescent="0.25">
      <c r="A2603" t="s">
        <v>643</v>
      </c>
      <c r="B2603" t="s">
        <v>85</v>
      </c>
      <c r="C2603" s="2">
        <f>HYPERLINK("https://sao.dolgi.msk.ru/account/1404193958/", 1404193958)</f>
        <v>1404193958</v>
      </c>
      <c r="D2603">
        <v>-7859.94</v>
      </c>
    </row>
    <row r="2604" spans="1:4" hidden="1" x14ac:dyDescent="0.25">
      <c r="A2604" t="s">
        <v>643</v>
      </c>
      <c r="B2604" t="s">
        <v>86</v>
      </c>
      <c r="C2604" s="2">
        <f>HYPERLINK("https://sao.dolgi.msk.ru/account/1404194248/", 1404194248)</f>
        <v>1404194248</v>
      </c>
      <c r="D2604">
        <v>0</v>
      </c>
    </row>
    <row r="2605" spans="1:4" hidden="1" x14ac:dyDescent="0.25">
      <c r="A2605" t="s">
        <v>643</v>
      </c>
      <c r="B2605" t="s">
        <v>87</v>
      </c>
      <c r="C2605" s="2">
        <f>HYPERLINK("https://sao.dolgi.msk.ru/account/1404194678/", 1404194678)</f>
        <v>1404194678</v>
      </c>
      <c r="D2605">
        <v>-10136.75</v>
      </c>
    </row>
    <row r="2606" spans="1:4" x14ac:dyDescent="0.25">
      <c r="A2606" t="s">
        <v>643</v>
      </c>
      <c r="B2606" t="s">
        <v>88</v>
      </c>
      <c r="C2606" s="2">
        <f>HYPERLINK("https://sao.dolgi.msk.ru/account/1404194686/", 1404194686)</f>
        <v>1404194686</v>
      </c>
      <c r="D2606">
        <v>10309.219999999999</v>
      </c>
    </row>
    <row r="2607" spans="1:4" hidden="1" x14ac:dyDescent="0.25">
      <c r="A2607" t="s">
        <v>643</v>
      </c>
      <c r="B2607" t="s">
        <v>89</v>
      </c>
      <c r="C2607" s="2">
        <f>HYPERLINK("https://sao.dolgi.msk.ru/account/1404194395/", 1404194395)</f>
        <v>1404194395</v>
      </c>
      <c r="D2607">
        <v>0</v>
      </c>
    </row>
    <row r="2608" spans="1:4" hidden="1" x14ac:dyDescent="0.25">
      <c r="A2608" t="s">
        <v>643</v>
      </c>
      <c r="B2608" t="s">
        <v>90</v>
      </c>
      <c r="C2608" s="2">
        <f>HYPERLINK("https://sao.dolgi.msk.ru/account/1404194176/", 1404194176)</f>
        <v>1404194176</v>
      </c>
      <c r="D2608">
        <v>0</v>
      </c>
    </row>
    <row r="2609" spans="1:4" x14ac:dyDescent="0.25">
      <c r="A2609" t="s">
        <v>643</v>
      </c>
      <c r="B2609" t="s">
        <v>91</v>
      </c>
      <c r="C2609" s="2">
        <f>HYPERLINK("https://sao.dolgi.msk.ru/account/1404194053/", 1404194053)</f>
        <v>1404194053</v>
      </c>
      <c r="D2609">
        <v>98087.67</v>
      </c>
    </row>
    <row r="2610" spans="1:4" hidden="1" x14ac:dyDescent="0.25">
      <c r="A2610" t="s">
        <v>643</v>
      </c>
      <c r="B2610" t="s">
        <v>92</v>
      </c>
      <c r="C2610" s="2">
        <f>HYPERLINK("https://sao.dolgi.msk.ru/account/1404194571/", 1404194571)</f>
        <v>1404194571</v>
      </c>
      <c r="D2610">
        <v>-4476.8999999999996</v>
      </c>
    </row>
    <row r="2611" spans="1:4" hidden="1" x14ac:dyDescent="0.25">
      <c r="A2611" t="s">
        <v>643</v>
      </c>
      <c r="B2611" t="s">
        <v>93</v>
      </c>
      <c r="C2611" s="2">
        <f>HYPERLINK("https://sao.dolgi.msk.ru/account/1404194598/", 1404194598)</f>
        <v>1404194598</v>
      </c>
      <c r="D2611">
        <v>-6857.95</v>
      </c>
    </row>
    <row r="2612" spans="1:4" hidden="1" x14ac:dyDescent="0.25">
      <c r="A2612" t="s">
        <v>643</v>
      </c>
      <c r="B2612" t="s">
        <v>94</v>
      </c>
      <c r="C2612" s="2">
        <f>HYPERLINK("https://sao.dolgi.msk.ru/account/1404193704/", 1404193704)</f>
        <v>1404193704</v>
      </c>
      <c r="D2612">
        <v>-6879.01</v>
      </c>
    </row>
    <row r="2613" spans="1:4" hidden="1" x14ac:dyDescent="0.25">
      <c r="A2613" t="s">
        <v>643</v>
      </c>
      <c r="B2613" t="s">
        <v>95</v>
      </c>
      <c r="C2613" s="2">
        <f>HYPERLINK("https://sao.dolgi.msk.ru/account/1404194344/", 1404194344)</f>
        <v>1404194344</v>
      </c>
      <c r="D2613">
        <v>-4993.5200000000004</v>
      </c>
    </row>
    <row r="2614" spans="1:4" hidden="1" x14ac:dyDescent="0.25">
      <c r="A2614" t="s">
        <v>643</v>
      </c>
      <c r="B2614" t="s">
        <v>96</v>
      </c>
      <c r="C2614" s="2">
        <f>HYPERLINK("https://sao.dolgi.msk.ru/account/1404193835/", 1404193835)</f>
        <v>1404193835</v>
      </c>
      <c r="D2614">
        <v>0</v>
      </c>
    </row>
    <row r="2615" spans="1:4" x14ac:dyDescent="0.25">
      <c r="A2615" t="s">
        <v>643</v>
      </c>
      <c r="B2615" t="s">
        <v>97</v>
      </c>
      <c r="C2615" s="2">
        <f>HYPERLINK("https://sao.dolgi.msk.ru/account/1404193843/", 1404193843)</f>
        <v>1404193843</v>
      </c>
      <c r="D2615">
        <v>7714.84</v>
      </c>
    </row>
    <row r="2616" spans="1:4" x14ac:dyDescent="0.25">
      <c r="A2616" t="s">
        <v>643</v>
      </c>
      <c r="B2616" t="s">
        <v>98</v>
      </c>
      <c r="C2616" s="2">
        <f>HYPERLINK("https://sao.dolgi.msk.ru/account/1404194168/", 1404194168)</f>
        <v>1404194168</v>
      </c>
      <c r="D2616">
        <v>16431.3</v>
      </c>
    </row>
    <row r="2617" spans="1:4" hidden="1" x14ac:dyDescent="0.25">
      <c r="A2617" t="s">
        <v>643</v>
      </c>
      <c r="B2617" t="s">
        <v>99</v>
      </c>
      <c r="C2617" s="2">
        <f>HYPERLINK("https://sao.dolgi.msk.ru/account/1404194352/", 1404194352)</f>
        <v>1404194352</v>
      </c>
      <c r="D2617">
        <v>0</v>
      </c>
    </row>
    <row r="2618" spans="1:4" hidden="1" x14ac:dyDescent="0.25">
      <c r="A2618" t="s">
        <v>643</v>
      </c>
      <c r="B2618" t="s">
        <v>100</v>
      </c>
      <c r="C2618" s="2">
        <f>HYPERLINK("https://sao.dolgi.msk.ru/account/1404194985/", 1404194985)</f>
        <v>1404194985</v>
      </c>
      <c r="D2618">
        <v>-4961.49</v>
      </c>
    </row>
    <row r="2619" spans="1:4" x14ac:dyDescent="0.25">
      <c r="A2619" t="s">
        <v>643</v>
      </c>
      <c r="B2619" t="s">
        <v>101</v>
      </c>
      <c r="C2619" s="2">
        <f>HYPERLINK("https://sao.dolgi.msk.ru/account/1404194803/", 1404194803)</f>
        <v>1404194803</v>
      </c>
      <c r="D2619">
        <v>18287.66</v>
      </c>
    </row>
    <row r="2620" spans="1:4" hidden="1" x14ac:dyDescent="0.25">
      <c r="A2620" t="s">
        <v>643</v>
      </c>
      <c r="B2620" t="s">
        <v>102</v>
      </c>
      <c r="C2620" s="2">
        <f>HYPERLINK("https://sao.dolgi.msk.ru/account/1404194379/", 1404194379)</f>
        <v>1404194379</v>
      </c>
      <c r="D2620">
        <v>-4676.3100000000004</v>
      </c>
    </row>
    <row r="2621" spans="1:4" hidden="1" x14ac:dyDescent="0.25">
      <c r="A2621" t="s">
        <v>643</v>
      </c>
      <c r="B2621" t="s">
        <v>103</v>
      </c>
      <c r="C2621" s="2">
        <f>HYPERLINK("https://sao.dolgi.msk.ru/account/1404194387/", 1404194387)</f>
        <v>1404194387</v>
      </c>
      <c r="D2621">
        <v>-3528.62</v>
      </c>
    </row>
    <row r="2622" spans="1:4" hidden="1" x14ac:dyDescent="0.25">
      <c r="A2622" t="s">
        <v>643</v>
      </c>
      <c r="B2622" t="s">
        <v>104</v>
      </c>
      <c r="C2622" s="2">
        <f>HYPERLINK("https://sao.dolgi.msk.ru/account/1404194424/", 1404194424)</f>
        <v>1404194424</v>
      </c>
      <c r="D2622">
        <v>-4479.7</v>
      </c>
    </row>
    <row r="2623" spans="1:4" hidden="1" x14ac:dyDescent="0.25">
      <c r="A2623" t="s">
        <v>643</v>
      </c>
      <c r="B2623" t="s">
        <v>105</v>
      </c>
      <c r="C2623" s="2">
        <f>HYPERLINK("https://sao.dolgi.msk.ru/account/1404194432/", 1404194432)</f>
        <v>1404194432</v>
      </c>
      <c r="D2623">
        <v>-3497.96</v>
      </c>
    </row>
    <row r="2624" spans="1:4" hidden="1" x14ac:dyDescent="0.25">
      <c r="A2624" t="s">
        <v>643</v>
      </c>
      <c r="B2624" t="s">
        <v>106</v>
      </c>
      <c r="C2624" s="2">
        <f>HYPERLINK("https://sao.dolgi.msk.ru/account/1404194715/", 1404194715)</f>
        <v>1404194715</v>
      </c>
      <c r="D2624">
        <v>-5663.46</v>
      </c>
    </row>
    <row r="2625" spans="1:4" hidden="1" x14ac:dyDescent="0.25">
      <c r="A2625" t="s">
        <v>643</v>
      </c>
      <c r="B2625" t="s">
        <v>107</v>
      </c>
      <c r="C2625" s="2">
        <f>HYPERLINK("https://sao.dolgi.msk.ru/account/1404193798/", 1404193798)</f>
        <v>1404193798</v>
      </c>
      <c r="D2625">
        <v>-7424.21</v>
      </c>
    </row>
    <row r="2626" spans="1:4" hidden="1" x14ac:dyDescent="0.25">
      <c r="A2626" t="s">
        <v>643</v>
      </c>
      <c r="B2626" t="s">
        <v>108</v>
      </c>
      <c r="C2626" s="2">
        <f>HYPERLINK("https://sao.dolgi.msk.ru/account/1404194723/", 1404194723)</f>
        <v>1404194723</v>
      </c>
      <c r="D2626">
        <v>-5541.08</v>
      </c>
    </row>
    <row r="2627" spans="1:4" x14ac:dyDescent="0.25">
      <c r="A2627" t="s">
        <v>643</v>
      </c>
      <c r="B2627" t="s">
        <v>109</v>
      </c>
      <c r="C2627" s="2">
        <f>HYPERLINK("https://sao.dolgi.msk.ru/account/1404194133/", 1404194133)</f>
        <v>1404194133</v>
      </c>
      <c r="D2627">
        <v>1558.62</v>
      </c>
    </row>
    <row r="2628" spans="1:4" hidden="1" x14ac:dyDescent="0.25">
      <c r="A2628" t="s">
        <v>643</v>
      </c>
      <c r="B2628" t="s">
        <v>110</v>
      </c>
      <c r="C2628" s="2">
        <f>HYPERLINK("https://sao.dolgi.msk.ru/account/1404194459/", 1404194459)</f>
        <v>1404194459</v>
      </c>
      <c r="D2628">
        <v>-3910.36</v>
      </c>
    </row>
    <row r="2629" spans="1:4" hidden="1" x14ac:dyDescent="0.25">
      <c r="A2629" t="s">
        <v>643</v>
      </c>
      <c r="B2629" t="s">
        <v>111</v>
      </c>
      <c r="C2629" s="2">
        <f>HYPERLINK("https://sao.dolgi.msk.ru/account/1404194467/", 1404194467)</f>
        <v>1404194467</v>
      </c>
      <c r="D2629">
        <v>-3975.64</v>
      </c>
    </row>
    <row r="2630" spans="1:4" x14ac:dyDescent="0.25">
      <c r="A2630" t="s">
        <v>643</v>
      </c>
      <c r="B2630" t="s">
        <v>112</v>
      </c>
      <c r="C2630" s="2">
        <f>HYPERLINK("https://sao.dolgi.msk.ru/account/1404194272/", 1404194272)</f>
        <v>1404194272</v>
      </c>
      <c r="D2630">
        <v>831.11</v>
      </c>
    </row>
    <row r="2631" spans="1:4" hidden="1" x14ac:dyDescent="0.25">
      <c r="A2631" t="s">
        <v>643</v>
      </c>
      <c r="B2631" t="s">
        <v>113</v>
      </c>
      <c r="C2631" s="2">
        <f>HYPERLINK("https://sao.dolgi.msk.ru/account/1404194141/", 1404194141)</f>
        <v>1404194141</v>
      </c>
      <c r="D2631">
        <v>-2974.59</v>
      </c>
    </row>
    <row r="2632" spans="1:4" hidden="1" x14ac:dyDescent="0.25">
      <c r="A2632" t="s">
        <v>643</v>
      </c>
      <c r="B2632" t="s">
        <v>114</v>
      </c>
      <c r="C2632" s="2">
        <f>HYPERLINK("https://sao.dolgi.msk.ru/account/1404194766/", 1404194766)</f>
        <v>1404194766</v>
      </c>
      <c r="D2632">
        <v>-6248.42</v>
      </c>
    </row>
    <row r="2633" spans="1:4" x14ac:dyDescent="0.25">
      <c r="A2633" t="s">
        <v>643</v>
      </c>
      <c r="B2633" t="s">
        <v>115</v>
      </c>
      <c r="C2633" s="2">
        <f>HYPERLINK("https://sao.dolgi.msk.ru/account/1404194926/", 1404194926)</f>
        <v>1404194926</v>
      </c>
      <c r="D2633">
        <v>42405.440000000002</v>
      </c>
    </row>
    <row r="2634" spans="1:4" x14ac:dyDescent="0.25">
      <c r="A2634" t="s">
        <v>644</v>
      </c>
      <c r="B2634" t="s">
        <v>5</v>
      </c>
      <c r="C2634" s="2">
        <f>HYPERLINK("https://sao.dolgi.msk.ru/account/1404107159/", 1404107159)</f>
        <v>1404107159</v>
      </c>
      <c r="D2634">
        <v>76203.28</v>
      </c>
    </row>
    <row r="2635" spans="1:4" hidden="1" x14ac:dyDescent="0.25">
      <c r="A2635" t="s">
        <v>644</v>
      </c>
      <c r="B2635" t="s">
        <v>6</v>
      </c>
      <c r="C2635" s="2">
        <f>HYPERLINK("https://sao.dolgi.msk.ru/account/1404107167/", 1404107167)</f>
        <v>1404107167</v>
      </c>
      <c r="D2635">
        <v>0</v>
      </c>
    </row>
    <row r="2636" spans="1:4" x14ac:dyDescent="0.25">
      <c r="A2636" t="s">
        <v>644</v>
      </c>
      <c r="B2636" t="s">
        <v>7</v>
      </c>
      <c r="C2636" s="2">
        <f>HYPERLINK("https://sao.dolgi.msk.ru/account/1404107327/", 1404107327)</f>
        <v>1404107327</v>
      </c>
      <c r="D2636">
        <v>286612.3</v>
      </c>
    </row>
    <row r="2637" spans="1:4" hidden="1" x14ac:dyDescent="0.25">
      <c r="A2637" t="s">
        <v>644</v>
      </c>
      <c r="B2637" t="s">
        <v>8</v>
      </c>
      <c r="C2637" s="2">
        <f>HYPERLINK("https://sao.dolgi.msk.ru/account/1404107335/", 1404107335)</f>
        <v>1404107335</v>
      </c>
      <c r="D2637">
        <v>-400.19</v>
      </c>
    </row>
    <row r="2638" spans="1:4" hidden="1" x14ac:dyDescent="0.25">
      <c r="A2638" t="s">
        <v>644</v>
      </c>
      <c r="B2638" t="s">
        <v>9</v>
      </c>
      <c r="C2638" s="2">
        <f>HYPERLINK("https://sao.dolgi.msk.ru/account/1404107343/", 1404107343)</f>
        <v>1404107343</v>
      </c>
      <c r="D2638">
        <v>0</v>
      </c>
    </row>
    <row r="2639" spans="1:4" hidden="1" x14ac:dyDescent="0.25">
      <c r="A2639" t="s">
        <v>644</v>
      </c>
      <c r="B2639" t="s">
        <v>10</v>
      </c>
      <c r="C2639" s="2">
        <f>HYPERLINK("https://sao.dolgi.msk.ru/account/1404106447/", 1404106447)</f>
        <v>1404106447</v>
      </c>
      <c r="D2639">
        <v>-10169.41</v>
      </c>
    </row>
    <row r="2640" spans="1:4" hidden="1" x14ac:dyDescent="0.25">
      <c r="A2640" t="s">
        <v>644</v>
      </c>
      <c r="B2640" t="s">
        <v>11</v>
      </c>
      <c r="C2640" s="2">
        <f>HYPERLINK("https://sao.dolgi.msk.ru/account/1404107618/", 1404107618)</f>
        <v>1404107618</v>
      </c>
      <c r="D2640">
        <v>0</v>
      </c>
    </row>
    <row r="2641" spans="1:4" hidden="1" x14ac:dyDescent="0.25">
      <c r="A2641" t="s">
        <v>644</v>
      </c>
      <c r="B2641" t="s">
        <v>12</v>
      </c>
      <c r="C2641" s="2">
        <f>HYPERLINK("https://sao.dolgi.msk.ru/account/1404106885/", 1404106885)</f>
        <v>1404106885</v>
      </c>
      <c r="D2641">
        <v>-9224.1299999999992</v>
      </c>
    </row>
    <row r="2642" spans="1:4" hidden="1" x14ac:dyDescent="0.25">
      <c r="A2642" t="s">
        <v>644</v>
      </c>
      <c r="B2642" t="s">
        <v>13</v>
      </c>
      <c r="C2642" s="2">
        <f>HYPERLINK("https://sao.dolgi.msk.ru/account/1404106893/", 1404106893)</f>
        <v>1404106893</v>
      </c>
      <c r="D2642">
        <v>-10286.969999999999</v>
      </c>
    </row>
    <row r="2643" spans="1:4" hidden="1" x14ac:dyDescent="0.25">
      <c r="A2643" t="s">
        <v>644</v>
      </c>
      <c r="B2643" t="s">
        <v>14</v>
      </c>
      <c r="C2643" s="2">
        <f>HYPERLINK("https://sao.dolgi.msk.ru/account/1404106244/", 1404106244)</f>
        <v>1404106244</v>
      </c>
      <c r="D2643">
        <v>-7468.7</v>
      </c>
    </row>
    <row r="2644" spans="1:4" hidden="1" x14ac:dyDescent="0.25">
      <c r="A2644" t="s">
        <v>644</v>
      </c>
      <c r="B2644" t="s">
        <v>15</v>
      </c>
      <c r="C2644" s="2">
        <f>HYPERLINK("https://sao.dolgi.msk.ru/account/1404106455/", 1404106455)</f>
        <v>1404106455</v>
      </c>
      <c r="D2644">
        <v>-5456.25</v>
      </c>
    </row>
    <row r="2645" spans="1:4" hidden="1" x14ac:dyDescent="0.25">
      <c r="A2645" t="s">
        <v>644</v>
      </c>
      <c r="B2645" t="s">
        <v>16</v>
      </c>
      <c r="C2645" s="2">
        <f>HYPERLINK("https://sao.dolgi.msk.ru/account/1404107175/", 1404107175)</f>
        <v>1404107175</v>
      </c>
      <c r="D2645">
        <v>-15122.54</v>
      </c>
    </row>
    <row r="2646" spans="1:4" hidden="1" x14ac:dyDescent="0.25">
      <c r="A2646" t="s">
        <v>644</v>
      </c>
      <c r="B2646" t="s">
        <v>17</v>
      </c>
      <c r="C2646" s="2">
        <f>HYPERLINK("https://sao.dolgi.msk.ru/account/1404107183/", 1404107183)</f>
        <v>1404107183</v>
      </c>
      <c r="D2646">
        <v>-8798.7099999999991</v>
      </c>
    </row>
    <row r="2647" spans="1:4" x14ac:dyDescent="0.25">
      <c r="A2647" t="s">
        <v>644</v>
      </c>
      <c r="B2647" t="s">
        <v>18</v>
      </c>
      <c r="C2647" s="2">
        <f>HYPERLINK("https://sao.dolgi.msk.ru/account/1404106906/", 1404106906)</f>
        <v>1404106906</v>
      </c>
      <c r="D2647">
        <v>18188.8</v>
      </c>
    </row>
    <row r="2648" spans="1:4" hidden="1" x14ac:dyDescent="0.25">
      <c r="A2648" t="s">
        <v>644</v>
      </c>
      <c r="B2648" t="s">
        <v>19</v>
      </c>
      <c r="C2648" s="2">
        <f>HYPERLINK("https://sao.dolgi.msk.ru/account/1404106252/", 1404106252)</f>
        <v>1404106252</v>
      </c>
      <c r="D2648">
        <v>-14946.37</v>
      </c>
    </row>
    <row r="2649" spans="1:4" x14ac:dyDescent="0.25">
      <c r="A2649" t="s">
        <v>644</v>
      </c>
      <c r="B2649" t="s">
        <v>20</v>
      </c>
      <c r="C2649" s="2">
        <f>HYPERLINK("https://sao.dolgi.msk.ru/account/1404106463/", 1404106463)</f>
        <v>1404106463</v>
      </c>
      <c r="D2649">
        <v>6988.13</v>
      </c>
    </row>
    <row r="2650" spans="1:4" hidden="1" x14ac:dyDescent="0.25">
      <c r="A2650" t="s">
        <v>644</v>
      </c>
      <c r="B2650" t="s">
        <v>21</v>
      </c>
      <c r="C2650" s="2">
        <f>HYPERLINK("https://sao.dolgi.msk.ru/account/1404106471/", 1404106471)</f>
        <v>1404106471</v>
      </c>
      <c r="D2650">
        <v>-5875.45</v>
      </c>
    </row>
    <row r="2651" spans="1:4" hidden="1" x14ac:dyDescent="0.25">
      <c r="A2651" t="s">
        <v>644</v>
      </c>
      <c r="B2651" t="s">
        <v>22</v>
      </c>
      <c r="C2651" s="2">
        <f>HYPERLINK("https://sao.dolgi.msk.ru/account/1404106498/", 1404106498)</f>
        <v>1404106498</v>
      </c>
      <c r="D2651">
        <v>-12595.89</v>
      </c>
    </row>
    <row r="2652" spans="1:4" hidden="1" x14ac:dyDescent="0.25">
      <c r="A2652" t="s">
        <v>644</v>
      </c>
      <c r="B2652" t="s">
        <v>23</v>
      </c>
      <c r="C2652" s="2">
        <f>HYPERLINK("https://sao.dolgi.msk.ru/account/1404107351/", 1404107351)</f>
        <v>1404107351</v>
      </c>
      <c r="D2652">
        <v>-10321.469999999999</v>
      </c>
    </row>
    <row r="2653" spans="1:4" hidden="1" x14ac:dyDescent="0.25">
      <c r="A2653" t="s">
        <v>644</v>
      </c>
      <c r="B2653" t="s">
        <v>24</v>
      </c>
      <c r="C2653" s="2">
        <f>HYPERLINK("https://sao.dolgi.msk.ru/account/1404106519/", 1404106519)</f>
        <v>1404106519</v>
      </c>
      <c r="D2653">
        <v>-9662.24</v>
      </c>
    </row>
    <row r="2654" spans="1:4" hidden="1" x14ac:dyDescent="0.25">
      <c r="A2654" t="s">
        <v>644</v>
      </c>
      <c r="B2654" t="s">
        <v>25</v>
      </c>
      <c r="C2654" s="2">
        <f>HYPERLINK("https://sao.dolgi.msk.ru/account/1404106084/", 1404106084)</f>
        <v>1404106084</v>
      </c>
      <c r="D2654">
        <v>-8614.42</v>
      </c>
    </row>
    <row r="2655" spans="1:4" hidden="1" x14ac:dyDescent="0.25">
      <c r="A2655" t="s">
        <v>644</v>
      </c>
      <c r="B2655" t="s">
        <v>26</v>
      </c>
      <c r="C2655" s="2">
        <f>HYPERLINK("https://sao.dolgi.msk.ru/account/1404106738/", 1404106738)</f>
        <v>1404106738</v>
      </c>
      <c r="D2655">
        <v>-14247.06</v>
      </c>
    </row>
    <row r="2656" spans="1:4" hidden="1" x14ac:dyDescent="0.25">
      <c r="A2656" t="s">
        <v>644</v>
      </c>
      <c r="B2656" t="s">
        <v>27</v>
      </c>
      <c r="C2656" s="2">
        <f>HYPERLINK("https://sao.dolgi.msk.ru/account/1404107378/", 1404107378)</f>
        <v>1404107378</v>
      </c>
      <c r="D2656">
        <v>-23019.05</v>
      </c>
    </row>
    <row r="2657" spans="1:4" hidden="1" x14ac:dyDescent="0.25">
      <c r="A2657" t="s">
        <v>644</v>
      </c>
      <c r="B2657" t="s">
        <v>28</v>
      </c>
      <c r="C2657" s="2">
        <f>HYPERLINK("https://sao.dolgi.msk.ru/account/1404107386/", 1404107386)</f>
        <v>1404107386</v>
      </c>
      <c r="D2657">
        <v>0</v>
      </c>
    </row>
    <row r="2658" spans="1:4" hidden="1" x14ac:dyDescent="0.25">
      <c r="A2658" t="s">
        <v>644</v>
      </c>
      <c r="B2658" t="s">
        <v>29</v>
      </c>
      <c r="C2658" s="2">
        <f>HYPERLINK("https://sao.dolgi.msk.ru/account/1404107191/", 1404107191)</f>
        <v>1404107191</v>
      </c>
      <c r="D2658">
        <v>0</v>
      </c>
    </row>
    <row r="2659" spans="1:4" hidden="1" x14ac:dyDescent="0.25">
      <c r="A2659" t="s">
        <v>644</v>
      </c>
      <c r="B2659" t="s">
        <v>30</v>
      </c>
      <c r="C2659" s="2">
        <f>HYPERLINK("https://sao.dolgi.msk.ru/account/1404106527/", 1404106527)</f>
        <v>1404106527</v>
      </c>
      <c r="D2659">
        <v>0</v>
      </c>
    </row>
    <row r="2660" spans="1:4" hidden="1" x14ac:dyDescent="0.25">
      <c r="A2660" t="s">
        <v>644</v>
      </c>
      <c r="B2660" t="s">
        <v>31</v>
      </c>
      <c r="C2660" s="2">
        <f>HYPERLINK("https://sao.dolgi.msk.ru/account/1404106535/", 1404106535)</f>
        <v>1404106535</v>
      </c>
      <c r="D2660">
        <v>0</v>
      </c>
    </row>
    <row r="2661" spans="1:4" hidden="1" x14ac:dyDescent="0.25">
      <c r="A2661" t="s">
        <v>644</v>
      </c>
      <c r="B2661" t="s">
        <v>32</v>
      </c>
      <c r="C2661" s="2">
        <f>HYPERLINK("https://sao.dolgi.msk.ru/account/1404106279/", 1404106279)</f>
        <v>1404106279</v>
      </c>
      <c r="D2661">
        <v>-6051</v>
      </c>
    </row>
    <row r="2662" spans="1:4" hidden="1" x14ac:dyDescent="0.25">
      <c r="A2662" t="s">
        <v>644</v>
      </c>
      <c r="B2662" t="s">
        <v>33</v>
      </c>
      <c r="C2662" s="2">
        <f>HYPERLINK("https://sao.dolgi.msk.ru/account/1404106092/", 1404106092)</f>
        <v>1404106092</v>
      </c>
      <c r="D2662">
        <v>-7097.03</v>
      </c>
    </row>
    <row r="2663" spans="1:4" hidden="1" x14ac:dyDescent="0.25">
      <c r="A2663" t="s">
        <v>644</v>
      </c>
      <c r="B2663" t="s">
        <v>34</v>
      </c>
      <c r="C2663" s="2">
        <f>HYPERLINK("https://sao.dolgi.msk.ru/account/1404106922/", 1404106922)</f>
        <v>1404106922</v>
      </c>
      <c r="D2663">
        <v>-11336.02</v>
      </c>
    </row>
    <row r="2664" spans="1:4" hidden="1" x14ac:dyDescent="0.25">
      <c r="A2664" t="s">
        <v>644</v>
      </c>
      <c r="B2664" t="s">
        <v>35</v>
      </c>
      <c r="C2664" s="2">
        <f>HYPERLINK("https://sao.dolgi.msk.ru/account/1404106949/", 1404106949)</f>
        <v>1404106949</v>
      </c>
      <c r="D2664">
        <v>-9532.16</v>
      </c>
    </row>
    <row r="2665" spans="1:4" hidden="1" x14ac:dyDescent="0.25">
      <c r="A2665" t="s">
        <v>644</v>
      </c>
      <c r="B2665" t="s">
        <v>36</v>
      </c>
      <c r="C2665" s="2">
        <f>HYPERLINK("https://sao.dolgi.msk.ru/account/1404106105/", 1404106105)</f>
        <v>1404106105</v>
      </c>
      <c r="D2665">
        <v>-7506</v>
      </c>
    </row>
    <row r="2666" spans="1:4" hidden="1" x14ac:dyDescent="0.25">
      <c r="A2666" t="s">
        <v>644</v>
      </c>
      <c r="B2666" t="s">
        <v>37</v>
      </c>
      <c r="C2666" s="2">
        <f>HYPERLINK("https://sao.dolgi.msk.ru/account/1404106287/", 1404106287)</f>
        <v>1404106287</v>
      </c>
      <c r="D2666">
        <v>-9845.1</v>
      </c>
    </row>
    <row r="2667" spans="1:4" hidden="1" x14ac:dyDescent="0.25">
      <c r="A2667" t="s">
        <v>644</v>
      </c>
      <c r="B2667" t="s">
        <v>38</v>
      </c>
      <c r="C2667" s="2">
        <f>HYPERLINK("https://sao.dolgi.msk.ru/account/1404106295/", 1404106295)</f>
        <v>1404106295</v>
      </c>
      <c r="D2667">
        <v>-6405.45</v>
      </c>
    </row>
    <row r="2668" spans="1:4" hidden="1" x14ac:dyDescent="0.25">
      <c r="A2668" t="s">
        <v>644</v>
      </c>
      <c r="B2668" t="s">
        <v>39</v>
      </c>
      <c r="C2668" s="2">
        <f>HYPERLINK("https://sao.dolgi.msk.ru/account/1404106957/", 1404106957)</f>
        <v>1404106957</v>
      </c>
      <c r="D2668">
        <v>-4345.97</v>
      </c>
    </row>
    <row r="2669" spans="1:4" hidden="1" x14ac:dyDescent="0.25">
      <c r="A2669" t="s">
        <v>644</v>
      </c>
      <c r="B2669" t="s">
        <v>40</v>
      </c>
      <c r="C2669" s="2">
        <f>HYPERLINK("https://sao.dolgi.msk.ru/account/1404106754/", 1404106754)</f>
        <v>1404106754</v>
      </c>
      <c r="D2669">
        <v>-5514.68</v>
      </c>
    </row>
    <row r="2670" spans="1:4" hidden="1" x14ac:dyDescent="0.25">
      <c r="A2670" t="s">
        <v>644</v>
      </c>
      <c r="B2670" t="s">
        <v>41</v>
      </c>
      <c r="C2670" s="2">
        <f>HYPERLINK("https://sao.dolgi.msk.ru/account/1404107423/", 1404107423)</f>
        <v>1404107423</v>
      </c>
      <c r="D2670">
        <v>0</v>
      </c>
    </row>
    <row r="2671" spans="1:4" hidden="1" x14ac:dyDescent="0.25">
      <c r="A2671" t="s">
        <v>644</v>
      </c>
      <c r="B2671" t="s">
        <v>42</v>
      </c>
      <c r="C2671" s="2">
        <f>HYPERLINK("https://sao.dolgi.msk.ru/account/1404107626/", 1404107626)</f>
        <v>1404107626</v>
      </c>
      <c r="D2671">
        <v>-8725.07</v>
      </c>
    </row>
    <row r="2672" spans="1:4" hidden="1" x14ac:dyDescent="0.25">
      <c r="A2672" t="s">
        <v>644</v>
      </c>
      <c r="B2672" t="s">
        <v>43</v>
      </c>
      <c r="C2672" s="2">
        <f>HYPERLINK("https://sao.dolgi.msk.ru/account/1404107431/", 1404107431)</f>
        <v>1404107431</v>
      </c>
      <c r="D2672">
        <v>-7461.75</v>
      </c>
    </row>
    <row r="2673" spans="1:4" hidden="1" x14ac:dyDescent="0.25">
      <c r="A2673" t="s">
        <v>644</v>
      </c>
      <c r="B2673" t="s">
        <v>44</v>
      </c>
      <c r="C2673" s="2">
        <f>HYPERLINK("https://sao.dolgi.msk.ru/account/1404106551/", 1404106551)</f>
        <v>1404106551</v>
      </c>
      <c r="D2673">
        <v>0</v>
      </c>
    </row>
    <row r="2674" spans="1:4" hidden="1" x14ac:dyDescent="0.25">
      <c r="A2674" t="s">
        <v>644</v>
      </c>
      <c r="B2674" t="s">
        <v>45</v>
      </c>
      <c r="C2674" s="2">
        <f>HYPERLINK("https://sao.dolgi.msk.ru/account/1404107458/", 1404107458)</f>
        <v>1404107458</v>
      </c>
      <c r="D2674">
        <v>-4400.13</v>
      </c>
    </row>
    <row r="2675" spans="1:4" hidden="1" x14ac:dyDescent="0.25">
      <c r="A2675" t="s">
        <v>644</v>
      </c>
      <c r="B2675" t="s">
        <v>46</v>
      </c>
      <c r="C2675" s="2">
        <f>HYPERLINK("https://sao.dolgi.msk.ru/account/1404106113/", 1404106113)</f>
        <v>1404106113</v>
      </c>
      <c r="D2675">
        <v>-14417.26</v>
      </c>
    </row>
    <row r="2676" spans="1:4" hidden="1" x14ac:dyDescent="0.25">
      <c r="A2676" t="s">
        <v>644</v>
      </c>
      <c r="B2676" t="s">
        <v>47</v>
      </c>
      <c r="C2676" s="2">
        <f>HYPERLINK("https://sao.dolgi.msk.ru/account/1404106981/", 1404106981)</f>
        <v>1404106981</v>
      </c>
      <c r="D2676">
        <v>-2502.2600000000002</v>
      </c>
    </row>
    <row r="2677" spans="1:4" hidden="1" x14ac:dyDescent="0.25">
      <c r="A2677" t="s">
        <v>644</v>
      </c>
      <c r="B2677" t="s">
        <v>48</v>
      </c>
      <c r="C2677" s="2">
        <f>HYPERLINK("https://sao.dolgi.msk.ru/account/1404107482/", 1404107482)</f>
        <v>1404107482</v>
      </c>
      <c r="D2677">
        <v>-1033.76</v>
      </c>
    </row>
    <row r="2678" spans="1:4" hidden="1" x14ac:dyDescent="0.25">
      <c r="A2678" t="s">
        <v>644</v>
      </c>
      <c r="B2678" t="s">
        <v>49</v>
      </c>
      <c r="C2678" s="2">
        <f>HYPERLINK("https://sao.dolgi.msk.ru/account/1404107642/", 1404107642)</f>
        <v>1404107642</v>
      </c>
      <c r="D2678">
        <v>0</v>
      </c>
    </row>
    <row r="2679" spans="1:4" hidden="1" x14ac:dyDescent="0.25">
      <c r="A2679" t="s">
        <v>644</v>
      </c>
      <c r="B2679" t="s">
        <v>50</v>
      </c>
      <c r="C2679" s="2">
        <f>HYPERLINK("https://sao.dolgi.msk.ru/account/1404107589/", 1404107589)</f>
        <v>1404107589</v>
      </c>
      <c r="D2679">
        <v>-6552.46</v>
      </c>
    </row>
    <row r="2680" spans="1:4" hidden="1" x14ac:dyDescent="0.25">
      <c r="A2680" t="s">
        <v>644</v>
      </c>
      <c r="B2680" t="s">
        <v>51</v>
      </c>
      <c r="C2680" s="2">
        <f>HYPERLINK("https://sao.dolgi.msk.ru/account/1404106156/", 1404106156)</f>
        <v>1404106156</v>
      </c>
      <c r="D2680">
        <v>-6892.02</v>
      </c>
    </row>
    <row r="2681" spans="1:4" hidden="1" x14ac:dyDescent="0.25">
      <c r="A2681" t="s">
        <v>644</v>
      </c>
      <c r="B2681" t="s">
        <v>52</v>
      </c>
      <c r="C2681" s="2">
        <f>HYPERLINK("https://sao.dolgi.msk.ru/account/1404107669/", 1404107669)</f>
        <v>1404107669</v>
      </c>
      <c r="D2681">
        <v>0</v>
      </c>
    </row>
    <row r="2682" spans="1:4" hidden="1" x14ac:dyDescent="0.25">
      <c r="A2682" t="s">
        <v>644</v>
      </c>
      <c r="B2682" t="s">
        <v>53</v>
      </c>
      <c r="C2682" s="2">
        <f>HYPERLINK("https://sao.dolgi.msk.ru/account/1404106789/", 1404106789)</f>
        <v>1404106789</v>
      </c>
      <c r="D2682">
        <v>-9297.07</v>
      </c>
    </row>
    <row r="2683" spans="1:4" x14ac:dyDescent="0.25">
      <c r="A2683" t="s">
        <v>644</v>
      </c>
      <c r="B2683" t="s">
        <v>54</v>
      </c>
      <c r="C2683" s="2">
        <f>HYPERLINK("https://sao.dolgi.msk.ru/account/1404106594/", 1404106594)</f>
        <v>1404106594</v>
      </c>
      <c r="D2683">
        <v>7071.36</v>
      </c>
    </row>
    <row r="2684" spans="1:4" x14ac:dyDescent="0.25">
      <c r="A2684" t="s">
        <v>644</v>
      </c>
      <c r="B2684" t="s">
        <v>55</v>
      </c>
      <c r="C2684" s="2">
        <f>HYPERLINK("https://sao.dolgi.msk.ru/account/1404106607/", 1404106607)</f>
        <v>1404106607</v>
      </c>
      <c r="D2684">
        <v>6876.55</v>
      </c>
    </row>
    <row r="2685" spans="1:4" hidden="1" x14ac:dyDescent="0.25">
      <c r="A2685" t="s">
        <v>644</v>
      </c>
      <c r="B2685" t="s">
        <v>56</v>
      </c>
      <c r="C2685" s="2">
        <f>HYPERLINK("https://sao.dolgi.msk.ru/account/1404107028/", 1404107028)</f>
        <v>1404107028</v>
      </c>
      <c r="D2685">
        <v>-3909.13</v>
      </c>
    </row>
    <row r="2686" spans="1:4" hidden="1" x14ac:dyDescent="0.25">
      <c r="A2686" t="s">
        <v>644</v>
      </c>
      <c r="B2686" t="s">
        <v>57</v>
      </c>
      <c r="C2686" s="2">
        <f>HYPERLINK("https://sao.dolgi.msk.ru/account/1404107503/", 1404107503)</f>
        <v>1404107503</v>
      </c>
      <c r="D2686">
        <v>-5480.98</v>
      </c>
    </row>
    <row r="2687" spans="1:4" hidden="1" x14ac:dyDescent="0.25">
      <c r="A2687" t="s">
        <v>644</v>
      </c>
      <c r="B2687" t="s">
        <v>58</v>
      </c>
      <c r="C2687" s="2">
        <f>HYPERLINK("https://sao.dolgi.msk.ru/account/1404106359/", 1404106359)</f>
        <v>1404106359</v>
      </c>
      <c r="D2687">
        <v>-13443.69</v>
      </c>
    </row>
    <row r="2688" spans="1:4" x14ac:dyDescent="0.25">
      <c r="A2688" t="s">
        <v>644</v>
      </c>
      <c r="B2688" t="s">
        <v>59</v>
      </c>
      <c r="C2688" s="2">
        <f>HYPERLINK("https://sao.dolgi.msk.ru/account/1404106615/", 1404106615)</f>
        <v>1404106615</v>
      </c>
      <c r="D2688">
        <v>23538.93</v>
      </c>
    </row>
    <row r="2689" spans="1:4" hidden="1" x14ac:dyDescent="0.25">
      <c r="A2689" t="s">
        <v>644</v>
      </c>
      <c r="B2689" t="s">
        <v>60</v>
      </c>
      <c r="C2689" s="2">
        <f>HYPERLINK("https://sao.dolgi.msk.ru/account/1404107255/", 1404107255)</f>
        <v>1404107255</v>
      </c>
      <c r="D2689">
        <v>-6980.54</v>
      </c>
    </row>
    <row r="2690" spans="1:4" hidden="1" x14ac:dyDescent="0.25">
      <c r="A2690" t="s">
        <v>644</v>
      </c>
      <c r="B2690" t="s">
        <v>61</v>
      </c>
      <c r="C2690" s="2">
        <f>HYPERLINK("https://sao.dolgi.msk.ru/account/1404107036/", 1404107036)</f>
        <v>1404107036</v>
      </c>
      <c r="D2690">
        <v>0</v>
      </c>
    </row>
    <row r="2691" spans="1:4" hidden="1" x14ac:dyDescent="0.25">
      <c r="A2691" t="s">
        <v>644</v>
      </c>
      <c r="B2691" t="s">
        <v>62</v>
      </c>
      <c r="C2691" s="2">
        <f>HYPERLINK("https://sao.dolgi.msk.ru/account/1404107511/", 1404107511)</f>
        <v>1404107511</v>
      </c>
      <c r="D2691">
        <v>-6983.27</v>
      </c>
    </row>
    <row r="2692" spans="1:4" hidden="1" x14ac:dyDescent="0.25">
      <c r="A2692" t="s">
        <v>644</v>
      </c>
      <c r="B2692" t="s">
        <v>63</v>
      </c>
      <c r="C2692" s="2">
        <f>HYPERLINK("https://sao.dolgi.msk.ru/account/1404107044/", 1404107044)</f>
        <v>1404107044</v>
      </c>
      <c r="D2692">
        <v>0</v>
      </c>
    </row>
    <row r="2693" spans="1:4" hidden="1" x14ac:dyDescent="0.25">
      <c r="A2693" t="s">
        <v>644</v>
      </c>
      <c r="B2693" t="s">
        <v>64</v>
      </c>
      <c r="C2693" s="2">
        <f>HYPERLINK("https://sao.dolgi.msk.ru/account/1404106818/", 1404106818)</f>
        <v>1404106818</v>
      </c>
      <c r="D2693">
        <v>-1452.62</v>
      </c>
    </row>
    <row r="2694" spans="1:4" hidden="1" x14ac:dyDescent="0.25">
      <c r="A2694" t="s">
        <v>644</v>
      </c>
      <c r="B2694" t="s">
        <v>65</v>
      </c>
      <c r="C2694" s="2">
        <f>HYPERLINK("https://sao.dolgi.msk.ru/account/1404106199/", 1404106199)</f>
        <v>1404106199</v>
      </c>
      <c r="D2694">
        <v>-9856.66</v>
      </c>
    </row>
    <row r="2695" spans="1:4" hidden="1" x14ac:dyDescent="0.25">
      <c r="A2695" t="s">
        <v>644</v>
      </c>
      <c r="B2695" t="s">
        <v>66</v>
      </c>
      <c r="C2695" s="2">
        <f>HYPERLINK("https://sao.dolgi.msk.ru/account/1404106201/", 1404106201)</f>
        <v>1404106201</v>
      </c>
      <c r="D2695">
        <v>-842.68</v>
      </c>
    </row>
    <row r="2696" spans="1:4" hidden="1" x14ac:dyDescent="0.25">
      <c r="A2696" t="s">
        <v>644</v>
      </c>
      <c r="B2696" t="s">
        <v>67</v>
      </c>
      <c r="C2696" s="2">
        <f>HYPERLINK("https://sao.dolgi.msk.ru/account/1404106826/", 1404106826)</f>
        <v>1404106826</v>
      </c>
      <c r="D2696">
        <v>-9627.85</v>
      </c>
    </row>
    <row r="2697" spans="1:4" hidden="1" x14ac:dyDescent="0.25">
      <c r="A2697" t="s">
        <v>644</v>
      </c>
      <c r="B2697" t="s">
        <v>68</v>
      </c>
      <c r="C2697" s="2">
        <f>HYPERLINK("https://sao.dolgi.msk.ru/account/1404106375/", 1404106375)</f>
        <v>1404106375</v>
      </c>
      <c r="D2697">
        <v>-6203.97</v>
      </c>
    </row>
    <row r="2698" spans="1:4" hidden="1" x14ac:dyDescent="0.25">
      <c r="A2698" t="s">
        <v>644</v>
      </c>
      <c r="B2698" t="s">
        <v>69</v>
      </c>
      <c r="C2698" s="2">
        <f>HYPERLINK("https://sao.dolgi.msk.ru/account/1404107677/", 1404107677)</f>
        <v>1404107677</v>
      </c>
      <c r="D2698">
        <v>-3690.13</v>
      </c>
    </row>
    <row r="2699" spans="1:4" hidden="1" x14ac:dyDescent="0.25">
      <c r="A2699" t="s">
        <v>644</v>
      </c>
      <c r="B2699" t="s">
        <v>70</v>
      </c>
      <c r="C2699" s="2">
        <f>HYPERLINK("https://sao.dolgi.msk.ru/account/1404107079/", 1404107079)</f>
        <v>1404107079</v>
      </c>
      <c r="D2699">
        <v>-743.75</v>
      </c>
    </row>
    <row r="2700" spans="1:4" hidden="1" x14ac:dyDescent="0.25">
      <c r="A2700" t="s">
        <v>644</v>
      </c>
      <c r="B2700" t="s">
        <v>71</v>
      </c>
      <c r="C2700" s="2">
        <f>HYPERLINK("https://sao.dolgi.msk.ru/account/1404107538/", 1404107538)</f>
        <v>1404107538</v>
      </c>
      <c r="D2700">
        <v>0</v>
      </c>
    </row>
    <row r="2701" spans="1:4" hidden="1" x14ac:dyDescent="0.25">
      <c r="A2701" t="s">
        <v>644</v>
      </c>
      <c r="B2701" t="s">
        <v>72</v>
      </c>
      <c r="C2701" s="2">
        <f>HYPERLINK("https://sao.dolgi.msk.ru/account/1404106842/", 1404106842)</f>
        <v>1404106842</v>
      </c>
      <c r="D2701">
        <v>-5017.62</v>
      </c>
    </row>
    <row r="2702" spans="1:4" hidden="1" x14ac:dyDescent="0.25">
      <c r="A2702" t="s">
        <v>644</v>
      </c>
      <c r="B2702" t="s">
        <v>73</v>
      </c>
      <c r="C2702" s="2">
        <f>HYPERLINK("https://sao.dolgi.msk.ru/account/1404107685/", 1404107685)</f>
        <v>1404107685</v>
      </c>
      <c r="D2702">
        <v>-6183.86</v>
      </c>
    </row>
    <row r="2703" spans="1:4" hidden="1" x14ac:dyDescent="0.25">
      <c r="A2703" t="s">
        <v>644</v>
      </c>
      <c r="B2703" t="s">
        <v>74</v>
      </c>
      <c r="C2703" s="2">
        <f>HYPERLINK("https://sao.dolgi.msk.ru/account/1404107087/", 1404107087)</f>
        <v>1404107087</v>
      </c>
      <c r="D2703">
        <v>-6264.78</v>
      </c>
    </row>
    <row r="2704" spans="1:4" hidden="1" x14ac:dyDescent="0.25">
      <c r="A2704" t="s">
        <v>644</v>
      </c>
      <c r="B2704" t="s">
        <v>75</v>
      </c>
      <c r="C2704" s="2">
        <f>HYPERLINK("https://sao.dolgi.msk.ru/account/1404106674/", 1404106674)</f>
        <v>1404106674</v>
      </c>
      <c r="D2704">
        <v>-5818.04</v>
      </c>
    </row>
    <row r="2705" spans="1:4" hidden="1" x14ac:dyDescent="0.25">
      <c r="A2705" t="s">
        <v>644</v>
      </c>
      <c r="B2705" t="s">
        <v>76</v>
      </c>
      <c r="C2705" s="2">
        <f>HYPERLINK("https://sao.dolgi.msk.ru/account/1404107546/", 1404107546)</f>
        <v>1404107546</v>
      </c>
      <c r="D2705">
        <v>-16000</v>
      </c>
    </row>
    <row r="2706" spans="1:4" hidden="1" x14ac:dyDescent="0.25">
      <c r="A2706" t="s">
        <v>644</v>
      </c>
      <c r="B2706" t="s">
        <v>77</v>
      </c>
      <c r="C2706" s="2">
        <f>HYPERLINK("https://sao.dolgi.msk.ru/account/1404107693/", 1404107693)</f>
        <v>1404107693</v>
      </c>
      <c r="D2706">
        <v>0</v>
      </c>
    </row>
    <row r="2707" spans="1:4" hidden="1" x14ac:dyDescent="0.25">
      <c r="A2707" t="s">
        <v>644</v>
      </c>
      <c r="B2707" t="s">
        <v>78</v>
      </c>
      <c r="C2707" s="2">
        <f>HYPERLINK("https://sao.dolgi.msk.ru/account/1404107263/", 1404107263)</f>
        <v>1404107263</v>
      </c>
      <c r="D2707">
        <v>-6139.1</v>
      </c>
    </row>
    <row r="2708" spans="1:4" hidden="1" x14ac:dyDescent="0.25">
      <c r="A2708" t="s">
        <v>644</v>
      </c>
      <c r="B2708" t="s">
        <v>79</v>
      </c>
      <c r="C2708" s="2">
        <f>HYPERLINK("https://sao.dolgi.msk.ru/account/1404106391/", 1404106391)</f>
        <v>1404106391</v>
      </c>
      <c r="D2708">
        <v>-7506.24</v>
      </c>
    </row>
    <row r="2709" spans="1:4" hidden="1" x14ac:dyDescent="0.25">
      <c r="A2709" t="s">
        <v>644</v>
      </c>
      <c r="B2709" t="s">
        <v>80</v>
      </c>
      <c r="C2709" s="2">
        <f>HYPERLINK("https://sao.dolgi.msk.ru/account/1404107554/", 1404107554)</f>
        <v>1404107554</v>
      </c>
      <c r="D2709">
        <v>-501.93</v>
      </c>
    </row>
    <row r="2710" spans="1:4" hidden="1" x14ac:dyDescent="0.25">
      <c r="A2710" t="s">
        <v>644</v>
      </c>
      <c r="B2710" t="s">
        <v>81</v>
      </c>
      <c r="C2710" s="2">
        <f>HYPERLINK("https://sao.dolgi.msk.ru/account/1404106412/", 1404106412)</f>
        <v>1404106412</v>
      </c>
      <c r="D2710">
        <v>-4474.84</v>
      </c>
    </row>
    <row r="2711" spans="1:4" x14ac:dyDescent="0.25">
      <c r="A2711" t="s">
        <v>644</v>
      </c>
      <c r="B2711" t="s">
        <v>82</v>
      </c>
      <c r="C2711" s="2">
        <f>HYPERLINK("https://sao.dolgi.msk.ru/account/1404107271/", 1404107271)</f>
        <v>1404107271</v>
      </c>
      <c r="D2711">
        <v>11502.72</v>
      </c>
    </row>
    <row r="2712" spans="1:4" hidden="1" x14ac:dyDescent="0.25">
      <c r="A2712" t="s">
        <v>644</v>
      </c>
      <c r="B2712" t="s">
        <v>83</v>
      </c>
      <c r="C2712" s="2">
        <f>HYPERLINK("https://sao.dolgi.msk.ru/account/1404106877/", 1404106877)</f>
        <v>1404106877</v>
      </c>
      <c r="D2712">
        <v>-12054.24</v>
      </c>
    </row>
    <row r="2713" spans="1:4" hidden="1" x14ac:dyDescent="0.25">
      <c r="A2713" t="s">
        <v>644</v>
      </c>
      <c r="B2713" t="s">
        <v>84</v>
      </c>
      <c r="C2713" s="2">
        <f>HYPERLINK("https://sao.dolgi.msk.ru/account/1404106666/", 1404106666)</f>
        <v>1404106666</v>
      </c>
      <c r="D2713">
        <v>0</v>
      </c>
    </row>
    <row r="2714" spans="1:4" hidden="1" x14ac:dyDescent="0.25">
      <c r="A2714" t="s">
        <v>644</v>
      </c>
      <c r="B2714" t="s">
        <v>85</v>
      </c>
      <c r="C2714" s="2">
        <f>HYPERLINK("https://sao.dolgi.msk.ru/account/1404106834/", 1404106834)</f>
        <v>1404106834</v>
      </c>
      <c r="D2714">
        <v>0</v>
      </c>
    </row>
    <row r="2715" spans="1:4" x14ac:dyDescent="0.25">
      <c r="A2715" t="s">
        <v>644</v>
      </c>
      <c r="B2715" t="s">
        <v>86</v>
      </c>
      <c r="C2715" s="2">
        <f>HYPERLINK("https://sao.dolgi.msk.ru/account/1404106228/", 1404106228)</f>
        <v>1404106228</v>
      </c>
      <c r="D2715">
        <v>8207.41</v>
      </c>
    </row>
    <row r="2716" spans="1:4" x14ac:dyDescent="0.25">
      <c r="A2716" t="s">
        <v>644</v>
      </c>
      <c r="B2716" t="s">
        <v>87</v>
      </c>
      <c r="C2716" s="2">
        <f>HYPERLINK("https://sao.dolgi.msk.ru/account/1404106383/", 1404106383)</f>
        <v>1404106383</v>
      </c>
      <c r="D2716">
        <v>12866.19</v>
      </c>
    </row>
    <row r="2717" spans="1:4" hidden="1" x14ac:dyDescent="0.25">
      <c r="A2717" t="s">
        <v>644</v>
      </c>
      <c r="B2717" t="s">
        <v>88</v>
      </c>
      <c r="C2717" s="2">
        <f>HYPERLINK("https://sao.dolgi.msk.ru/account/1404106869/", 1404106869)</f>
        <v>1404106869</v>
      </c>
      <c r="D2717">
        <v>0</v>
      </c>
    </row>
    <row r="2718" spans="1:4" hidden="1" x14ac:dyDescent="0.25">
      <c r="A2718" t="s">
        <v>644</v>
      </c>
      <c r="B2718" t="s">
        <v>89</v>
      </c>
      <c r="C2718" s="2">
        <f>HYPERLINK("https://sao.dolgi.msk.ru/account/1404107095/", 1404107095)</f>
        <v>1404107095</v>
      </c>
      <c r="D2718">
        <v>-13648.58</v>
      </c>
    </row>
    <row r="2719" spans="1:4" x14ac:dyDescent="0.25">
      <c r="A2719" t="s">
        <v>644</v>
      </c>
      <c r="B2719" t="s">
        <v>90</v>
      </c>
      <c r="C2719" s="2">
        <f>HYPERLINK("https://sao.dolgi.msk.ru/account/1404106404/", 1404106404)</f>
        <v>1404106404</v>
      </c>
      <c r="D2719">
        <v>16481.490000000002</v>
      </c>
    </row>
    <row r="2720" spans="1:4" hidden="1" x14ac:dyDescent="0.25">
      <c r="A2720" t="s">
        <v>644</v>
      </c>
      <c r="B2720" t="s">
        <v>91</v>
      </c>
      <c r="C2720" s="2">
        <f>HYPERLINK("https://sao.dolgi.msk.ru/account/1404107108/", 1404107108)</f>
        <v>1404107108</v>
      </c>
      <c r="D2720">
        <v>-6660.47</v>
      </c>
    </row>
    <row r="2721" spans="1:4" hidden="1" x14ac:dyDescent="0.25">
      <c r="A2721" t="s">
        <v>644</v>
      </c>
      <c r="B2721" t="s">
        <v>92</v>
      </c>
      <c r="C2721" s="2">
        <f>HYPERLINK("https://sao.dolgi.msk.ru/account/1404106439/", 1404106439)</f>
        <v>1404106439</v>
      </c>
      <c r="D2721">
        <v>-529.82000000000005</v>
      </c>
    </row>
    <row r="2722" spans="1:4" x14ac:dyDescent="0.25">
      <c r="A2722" t="s">
        <v>644</v>
      </c>
      <c r="B2722" t="s">
        <v>93</v>
      </c>
      <c r="C2722" s="2">
        <f>HYPERLINK("https://sao.dolgi.msk.ru/account/1404106682/", 1404106682)</f>
        <v>1404106682</v>
      </c>
      <c r="D2722">
        <v>8186.68</v>
      </c>
    </row>
    <row r="2723" spans="1:4" x14ac:dyDescent="0.25">
      <c r="A2723" t="s">
        <v>644</v>
      </c>
      <c r="B2723" t="s">
        <v>94</v>
      </c>
      <c r="C2723" s="2">
        <f>HYPERLINK("https://sao.dolgi.msk.ru/account/1404107298/", 1404107298)</f>
        <v>1404107298</v>
      </c>
      <c r="D2723">
        <v>1050.8</v>
      </c>
    </row>
    <row r="2724" spans="1:4" hidden="1" x14ac:dyDescent="0.25">
      <c r="A2724" t="s">
        <v>644</v>
      </c>
      <c r="B2724" t="s">
        <v>95</v>
      </c>
      <c r="C2724" s="2">
        <f>HYPERLINK("https://sao.dolgi.msk.ru/account/1404106703/", 1404106703)</f>
        <v>1404106703</v>
      </c>
      <c r="D2724">
        <v>0</v>
      </c>
    </row>
    <row r="2725" spans="1:4" hidden="1" x14ac:dyDescent="0.25">
      <c r="A2725" t="s">
        <v>644</v>
      </c>
      <c r="B2725" t="s">
        <v>96</v>
      </c>
      <c r="C2725" s="2">
        <f>HYPERLINK("https://sao.dolgi.msk.ru/account/1404107132/", 1404107132)</f>
        <v>1404107132</v>
      </c>
      <c r="D2725">
        <v>0</v>
      </c>
    </row>
    <row r="2726" spans="1:4" hidden="1" x14ac:dyDescent="0.25">
      <c r="A2726" t="s">
        <v>644</v>
      </c>
      <c r="B2726" t="s">
        <v>96</v>
      </c>
      <c r="C2726" s="2">
        <f>HYPERLINK("https://sao.dolgi.msk.ru/account/1404107319/", 1404107319)</f>
        <v>1404107319</v>
      </c>
      <c r="D2726">
        <v>-7145.35</v>
      </c>
    </row>
    <row r="2727" spans="1:4" hidden="1" x14ac:dyDescent="0.25">
      <c r="A2727" t="s">
        <v>644</v>
      </c>
      <c r="B2727" t="s">
        <v>97</v>
      </c>
      <c r="C2727" s="2">
        <f>HYPERLINK("https://sao.dolgi.msk.ru/account/1404107562/", 1404107562)</f>
        <v>1404107562</v>
      </c>
      <c r="D2727">
        <v>0</v>
      </c>
    </row>
    <row r="2728" spans="1:4" hidden="1" x14ac:dyDescent="0.25">
      <c r="A2728" t="s">
        <v>644</v>
      </c>
      <c r="B2728" t="s">
        <v>98</v>
      </c>
      <c r="C2728" s="2">
        <f>HYPERLINK("https://sao.dolgi.msk.ru/account/1404107116/", 1404107116)</f>
        <v>1404107116</v>
      </c>
      <c r="D2728">
        <v>-7435.74</v>
      </c>
    </row>
    <row r="2729" spans="1:4" hidden="1" x14ac:dyDescent="0.25">
      <c r="A2729" t="s">
        <v>644</v>
      </c>
      <c r="B2729" t="s">
        <v>99</v>
      </c>
      <c r="C2729" s="2">
        <f>HYPERLINK("https://sao.dolgi.msk.ru/account/1404107124/", 1404107124)</f>
        <v>1404107124</v>
      </c>
      <c r="D2729">
        <v>-5120.95</v>
      </c>
    </row>
    <row r="2730" spans="1:4" hidden="1" x14ac:dyDescent="0.25">
      <c r="A2730" t="s">
        <v>644</v>
      </c>
      <c r="B2730" t="s">
        <v>100</v>
      </c>
      <c r="C2730" s="2">
        <f>HYPERLINK("https://sao.dolgi.msk.ru/account/1404106236/", 1404106236)</f>
        <v>1404106236</v>
      </c>
      <c r="D2730">
        <v>-13062.11</v>
      </c>
    </row>
    <row r="2731" spans="1:4" hidden="1" x14ac:dyDescent="0.25">
      <c r="A2731" t="s">
        <v>644</v>
      </c>
      <c r="B2731" t="s">
        <v>101</v>
      </c>
      <c r="C2731" s="2">
        <f>HYPERLINK("https://sao.dolgi.msk.ru/account/1404106711/", 1404106711)</f>
        <v>1404106711</v>
      </c>
      <c r="D2731">
        <v>0</v>
      </c>
    </row>
    <row r="2732" spans="1:4" hidden="1" x14ac:dyDescent="0.25">
      <c r="A2732" t="s">
        <v>644</v>
      </c>
      <c r="B2732" t="s">
        <v>102</v>
      </c>
      <c r="C2732" s="2">
        <f>HYPERLINK("https://sao.dolgi.msk.ru/account/1404106164/", 1404106164)</f>
        <v>1404106164</v>
      </c>
      <c r="D2732">
        <v>0</v>
      </c>
    </row>
    <row r="2733" spans="1:4" hidden="1" x14ac:dyDescent="0.25">
      <c r="A2733" t="s">
        <v>644</v>
      </c>
      <c r="B2733" t="s">
        <v>103</v>
      </c>
      <c r="C2733" s="2">
        <f>HYPERLINK("https://sao.dolgi.msk.ru/account/1404106797/", 1404106797)</f>
        <v>1404106797</v>
      </c>
      <c r="D2733">
        <v>-8604.58</v>
      </c>
    </row>
    <row r="2734" spans="1:4" hidden="1" x14ac:dyDescent="0.25">
      <c r="A2734" t="s">
        <v>644</v>
      </c>
      <c r="B2734" t="s">
        <v>104</v>
      </c>
      <c r="C2734" s="2">
        <f>HYPERLINK("https://sao.dolgi.msk.ru/account/1404106623/", 1404106623)</f>
        <v>1404106623</v>
      </c>
      <c r="D2734">
        <v>-6246.28</v>
      </c>
    </row>
    <row r="2735" spans="1:4" hidden="1" x14ac:dyDescent="0.25">
      <c r="A2735" t="s">
        <v>644</v>
      </c>
      <c r="B2735" t="s">
        <v>105</v>
      </c>
      <c r="C2735" s="2">
        <f>HYPERLINK("https://sao.dolgi.msk.ru/account/1404107247/", 1404107247)</f>
        <v>1404107247</v>
      </c>
      <c r="D2735">
        <v>-5611.99</v>
      </c>
    </row>
    <row r="2736" spans="1:4" x14ac:dyDescent="0.25">
      <c r="A2736" t="s">
        <v>644</v>
      </c>
      <c r="B2736" t="s">
        <v>106</v>
      </c>
      <c r="C2736" s="2">
        <f>HYPERLINK("https://sao.dolgi.msk.ru/account/1404106172/", 1404106172)</f>
        <v>1404106172</v>
      </c>
      <c r="D2736">
        <v>148749.38</v>
      </c>
    </row>
    <row r="2737" spans="1:4" hidden="1" x14ac:dyDescent="0.25">
      <c r="A2737" t="s">
        <v>644</v>
      </c>
      <c r="B2737" t="s">
        <v>107</v>
      </c>
      <c r="C2737" s="2">
        <f>HYPERLINK("https://sao.dolgi.msk.ru/account/1404106631/", 1404106631)</f>
        <v>1404106631</v>
      </c>
      <c r="D2737">
        <v>-1162.6199999999999</v>
      </c>
    </row>
    <row r="2738" spans="1:4" hidden="1" x14ac:dyDescent="0.25">
      <c r="A2738" t="s">
        <v>644</v>
      </c>
      <c r="B2738" t="s">
        <v>108</v>
      </c>
      <c r="C2738" s="2">
        <f>HYPERLINK("https://sao.dolgi.msk.ru/account/1404106367/", 1404106367)</f>
        <v>1404106367</v>
      </c>
      <c r="D2738">
        <v>-7260.19</v>
      </c>
    </row>
    <row r="2739" spans="1:4" hidden="1" x14ac:dyDescent="0.25">
      <c r="A2739" t="s">
        <v>644</v>
      </c>
      <c r="B2739" t="s">
        <v>109</v>
      </c>
      <c r="C2739" s="2">
        <f>HYPERLINK("https://sao.dolgi.msk.ru/account/1404107052/", 1404107052)</f>
        <v>1404107052</v>
      </c>
      <c r="D2739">
        <v>-10599.96</v>
      </c>
    </row>
    <row r="2740" spans="1:4" hidden="1" x14ac:dyDescent="0.25">
      <c r="A2740" t="s">
        <v>644</v>
      </c>
      <c r="B2740" t="s">
        <v>110</v>
      </c>
      <c r="C2740" s="2">
        <f>HYPERLINK("https://sao.dolgi.msk.ru/account/1404106658/", 1404106658)</f>
        <v>1404106658</v>
      </c>
      <c r="D2740">
        <v>-6570.22</v>
      </c>
    </row>
    <row r="2741" spans="1:4" hidden="1" x14ac:dyDescent="0.25">
      <c r="A2741" t="s">
        <v>644</v>
      </c>
      <c r="B2741" t="s">
        <v>111</v>
      </c>
      <c r="C2741" s="2">
        <f>HYPERLINK("https://sao.dolgi.msk.ru/account/1404106076/", 1404106076)</f>
        <v>1404106076</v>
      </c>
      <c r="D2741">
        <v>-4338.22</v>
      </c>
    </row>
    <row r="2742" spans="1:4" hidden="1" x14ac:dyDescent="0.25">
      <c r="A2742" t="s">
        <v>644</v>
      </c>
      <c r="B2742" t="s">
        <v>112</v>
      </c>
      <c r="C2742" s="2">
        <f>HYPERLINK("https://sao.dolgi.msk.ru/account/1404107204/", 1404107204)</f>
        <v>1404107204</v>
      </c>
      <c r="D2742">
        <v>-740.02</v>
      </c>
    </row>
    <row r="2743" spans="1:4" hidden="1" x14ac:dyDescent="0.25">
      <c r="A2743" t="s">
        <v>644</v>
      </c>
      <c r="B2743" t="s">
        <v>113</v>
      </c>
      <c r="C2743" s="2">
        <f>HYPERLINK("https://sao.dolgi.msk.ru/account/1404106586/", 1404106586)</f>
        <v>1404106586</v>
      </c>
      <c r="D2743">
        <v>0</v>
      </c>
    </row>
    <row r="2744" spans="1:4" hidden="1" x14ac:dyDescent="0.25">
      <c r="A2744" t="s">
        <v>644</v>
      </c>
      <c r="B2744" t="s">
        <v>114</v>
      </c>
      <c r="C2744" s="2">
        <f>HYPERLINK("https://sao.dolgi.msk.ru/account/1404107394/", 1404107394)</f>
        <v>1404107394</v>
      </c>
      <c r="D2744">
        <v>-8706.58</v>
      </c>
    </row>
    <row r="2745" spans="1:4" hidden="1" x14ac:dyDescent="0.25">
      <c r="A2745" t="s">
        <v>644</v>
      </c>
      <c r="B2745" t="s">
        <v>115</v>
      </c>
      <c r="C2745" s="2">
        <f>HYPERLINK("https://sao.dolgi.msk.ru/account/1404106914/", 1404106914)</f>
        <v>1404106914</v>
      </c>
      <c r="D2745">
        <v>-9487.41</v>
      </c>
    </row>
    <row r="2746" spans="1:4" hidden="1" x14ac:dyDescent="0.25">
      <c r="A2746" t="s">
        <v>644</v>
      </c>
      <c r="B2746" t="s">
        <v>116</v>
      </c>
      <c r="C2746" s="2">
        <f>HYPERLINK("https://sao.dolgi.msk.ru/account/1404106746/", 1404106746)</f>
        <v>1404106746</v>
      </c>
      <c r="D2746">
        <v>-6735.46</v>
      </c>
    </row>
    <row r="2747" spans="1:4" hidden="1" x14ac:dyDescent="0.25">
      <c r="A2747" t="s">
        <v>644</v>
      </c>
      <c r="B2747" t="s">
        <v>117</v>
      </c>
      <c r="C2747" s="2">
        <f>HYPERLINK("https://sao.dolgi.msk.ru/account/1404107212/", 1404107212)</f>
        <v>1404107212</v>
      </c>
      <c r="D2747">
        <v>-122.7</v>
      </c>
    </row>
    <row r="2748" spans="1:4" hidden="1" x14ac:dyDescent="0.25">
      <c r="A2748" t="s">
        <v>644</v>
      </c>
      <c r="B2748" t="s">
        <v>118</v>
      </c>
      <c r="C2748" s="2">
        <f>HYPERLINK("https://sao.dolgi.msk.ru/account/1404107407/", 1404107407)</f>
        <v>1404107407</v>
      </c>
      <c r="D2748">
        <v>0</v>
      </c>
    </row>
    <row r="2749" spans="1:4" x14ac:dyDescent="0.25">
      <c r="A2749" t="s">
        <v>644</v>
      </c>
      <c r="B2749" t="s">
        <v>119</v>
      </c>
      <c r="C2749" s="2">
        <f>HYPERLINK("https://sao.dolgi.msk.ru/account/1404107239/", 1404107239)</f>
        <v>1404107239</v>
      </c>
      <c r="D2749">
        <v>190859.57</v>
      </c>
    </row>
    <row r="2750" spans="1:4" hidden="1" x14ac:dyDescent="0.25">
      <c r="A2750" t="s">
        <v>644</v>
      </c>
      <c r="B2750" t="s">
        <v>120</v>
      </c>
      <c r="C2750" s="2">
        <f>HYPERLINK("https://sao.dolgi.msk.ru/account/1404106543/", 1404106543)</f>
        <v>1404106543</v>
      </c>
      <c r="D2750">
        <v>-9370.2000000000007</v>
      </c>
    </row>
    <row r="2751" spans="1:4" hidden="1" x14ac:dyDescent="0.25">
      <c r="A2751" t="s">
        <v>644</v>
      </c>
      <c r="B2751" t="s">
        <v>121</v>
      </c>
      <c r="C2751" s="2">
        <f>HYPERLINK("https://sao.dolgi.msk.ru/account/1404107415/", 1404107415)</f>
        <v>1404107415</v>
      </c>
      <c r="D2751">
        <v>-10009.200000000001</v>
      </c>
    </row>
    <row r="2752" spans="1:4" hidden="1" x14ac:dyDescent="0.25">
      <c r="A2752" t="s">
        <v>644</v>
      </c>
      <c r="B2752" t="s">
        <v>122</v>
      </c>
      <c r="C2752" s="2">
        <f>HYPERLINK("https://sao.dolgi.msk.ru/account/1404106965/", 1404106965)</f>
        <v>1404106965</v>
      </c>
      <c r="D2752">
        <v>-578.84</v>
      </c>
    </row>
    <row r="2753" spans="1:4" hidden="1" x14ac:dyDescent="0.25">
      <c r="A2753" t="s">
        <v>644</v>
      </c>
      <c r="B2753" t="s">
        <v>123</v>
      </c>
      <c r="C2753" s="2">
        <f>HYPERLINK("https://sao.dolgi.msk.ru/account/1404106308/", 1404106308)</f>
        <v>1404106308</v>
      </c>
      <c r="D2753">
        <v>-4560.47</v>
      </c>
    </row>
    <row r="2754" spans="1:4" hidden="1" x14ac:dyDescent="0.25">
      <c r="A2754" t="s">
        <v>644</v>
      </c>
      <c r="B2754" t="s">
        <v>124</v>
      </c>
      <c r="C2754" s="2">
        <f>HYPERLINK("https://sao.dolgi.msk.ru/account/1404107597/", 1404107597)</f>
        <v>1404107597</v>
      </c>
      <c r="D2754">
        <v>-11895.34</v>
      </c>
    </row>
    <row r="2755" spans="1:4" hidden="1" x14ac:dyDescent="0.25">
      <c r="A2755" t="s">
        <v>644</v>
      </c>
      <c r="B2755" t="s">
        <v>125</v>
      </c>
      <c r="C2755" s="2">
        <f>HYPERLINK("https://sao.dolgi.msk.ru/account/1404106973/", 1404106973)</f>
        <v>1404106973</v>
      </c>
      <c r="D2755">
        <v>0</v>
      </c>
    </row>
    <row r="2756" spans="1:4" hidden="1" x14ac:dyDescent="0.25">
      <c r="A2756" t="s">
        <v>644</v>
      </c>
      <c r="B2756" t="s">
        <v>126</v>
      </c>
      <c r="C2756" s="2">
        <f>HYPERLINK("https://sao.dolgi.msk.ru/account/1404106578/", 1404106578)</f>
        <v>1404106578</v>
      </c>
      <c r="D2756">
        <v>-6871.79</v>
      </c>
    </row>
    <row r="2757" spans="1:4" hidden="1" x14ac:dyDescent="0.25">
      <c r="A2757" t="s">
        <v>644</v>
      </c>
      <c r="B2757" t="s">
        <v>127</v>
      </c>
      <c r="C2757" s="2">
        <f>HYPERLINK("https://sao.dolgi.msk.ru/account/1404107466/", 1404107466)</f>
        <v>1404107466</v>
      </c>
      <c r="D2757">
        <v>0</v>
      </c>
    </row>
    <row r="2758" spans="1:4" hidden="1" x14ac:dyDescent="0.25">
      <c r="A2758" t="s">
        <v>644</v>
      </c>
      <c r="B2758" t="s">
        <v>128</v>
      </c>
      <c r="C2758" s="2">
        <f>HYPERLINK("https://sao.dolgi.msk.ru/account/1404106316/", 1404106316)</f>
        <v>1404106316</v>
      </c>
      <c r="D2758">
        <v>-138.96</v>
      </c>
    </row>
    <row r="2759" spans="1:4" hidden="1" x14ac:dyDescent="0.25">
      <c r="A2759" t="s">
        <v>644</v>
      </c>
      <c r="B2759" t="s">
        <v>129</v>
      </c>
      <c r="C2759" s="2">
        <f>HYPERLINK("https://sao.dolgi.msk.ru/account/1404106121/", 1404106121)</f>
        <v>1404106121</v>
      </c>
      <c r="D2759">
        <v>-4832.97</v>
      </c>
    </row>
    <row r="2760" spans="1:4" hidden="1" x14ac:dyDescent="0.25">
      <c r="A2760" t="s">
        <v>644</v>
      </c>
      <c r="B2760" t="s">
        <v>130</v>
      </c>
      <c r="C2760" s="2">
        <f>HYPERLINK("https://sao.dolgi.msk.ru/account/1404106762/", 1404106762)</f>
        <v>1404106762</v>
      </c>
      <c r="D2760">
        <v>-13953.05</v>
      </c>
    </row>
    <row r="2761" spans="1:4" x14ac:dyDescent="0.25">
      <c r="A2761" t="s">
        <v>644</v>
      </c>
      <c r="B2761" t="s">
        <v>131</v>
      </c>
      <c r="C2761" s="2">
        <f>HYPERLINK("https://sao.dolgi.msk.ru/account/1404107474/", 1404107474)</f>
        <v>1404107474</v>
      </c>
      <c r="D2761">
        <v>10241.02</v>
      </c>
    </row>
    <row r="2762" spans="1:4" hidden="1" x14ac:dyDescent="0.25">
      <c r="A2762" t="s">
        <v>644</v>
      </c>
      <c r="B2762" t="s">
        <v>132</v>
      </c>
      <c r="C2762" s="2">
        <f>HYPERLINK("https://sao.dolgi.msk.ru/account/1404107634/", 1404107634)</f>
        <v>1404107634</v>
      </c>
      <c r="D2762">
        <v>0</v>
      </c>
    </row>
    <row r="2763" spans="1:4" hidden="1" x14ac:dyDescent="0.25">
      <c r="A2763" t="s">
        <v>644</v>
      </c>
      <c r="B2763" t="s">
        <v>133</v>
      </c>
      <c r="C2763" s="2">
        <f>HYPERLINK("https://sao.dolgi.msk.ru/account/1404106148/", 1404106148)</f>
        <v>1404106148</v>
      </c>
      <c r="D2763">
        <v>-14429.14</v>
      </c>
    </row>
    <row r="2764" spans="1:4" hidden="1" x14ac:dyDescent="0.25">
      <c r="A2764" t="s">
        <v>644</v>
      </c>
      <c r="B2764" t="s">
        <v>134</v>
      </c>
      <c r="C2764" s="2">
        <f>HYPERLINK("https://sao.dolgi.msk.ru/account/1404106324/", 1404106324)</f>
        <v>1404106324</v>
      </c>
      <c r="D2764">
        <v>-6687.4</v>
      </c>
    </row>
    <row r="2765" spans="1:4" hidden="1" x14ac:dyDescent="0.25">
      <c r="A2765" t="s">
        <v>644</v>
      </c>
      <c r="B2765" t="s">
        <v>135</v>
      </c>
      <c r="C2765" s="2">
        <f>HYPERLINK("https://sao.dolgi.msk.ru/account/1404107001/", 1404107001)</f>
        <v>1404107001</v>
      </c>
      <c r="D2765">
        <v>-6070.06</v>
      </c>
    </row>
    <row r="2766" spans="1:4" hidden="1" x14ac:dyDescent="0.25">
      <c r="A2766" t="s">
        <v>644</v>
      </c>
      <c r="B2766" t="s">
        <v>136</v>
      </c>
      <c r="C2766" s="2">
        <f>HYPERLINK("https://sao.dolgi.msk.ru/account/1404106332/", 1404106332)</f>
        <v>1404106332</v>
      </c>
      <c r="D2766">
        <v>-10792.85</v>
      </c>
    </row>
    <row r="2767" spans="1:4" hidden="1" x14ac:dyDescent="0.25">
      <c r="A2767" t="s">
        <v>645</v>
      </c>
      <c r="B2767" t="s">
        <v>5</v>
      </c>
      <c r="C2767" s="2">
        <f>HYPERLINK("https://sao.dolgi.msk.ru/account/1404195443/", 1404195443)</f>
        <v>1404195443</v>
      </c>
      <c r="D2767">
        <v>-6680.39</v>
      </c>
    </row>
    <row r="2768" spans="1:4" hidden="1" x14ac:dyDescent="0.25">
      <c r="A2768" t="s">
        <v>645</v>
      </c>
      <c r="B2768" t="s">
        <v>6</v>
      </c>
      <c r="C2768" s="2">
        <f>HYPERLINK("https://sao.dolgi.msk.ru/account/1404197019/", 1404197019)</f>
        <v>1404197019</v>
      </c>
      <c r="D2768">
        <v>0</v>
      </c>
    </row>
    <row r="2769" spans="1:4" hidden="1" x14ac:dyDescent="0.25">
      <c r="A2769" t="s">
        <v>645</v>
      </c>
      <c r="B2769" t="s">
        <v>7</v>
      </c>
      <c r="C2769" s="2">
        <f>HYPERLINK("https://sao.dolgi.msk.ru/account/1404195769/", 1404195769)</f>
        <v>1404195769</v>
      </c>
      <c r="D2769">
        <v>0</v>
      </c>
    </row>
    <row r="2770" spans="1:4" hidden="1" x14ac:dyDescent="0.25">
      <c r="A2770" t="s">
        <v>645</v>
      </c>
      <c r="B2770" t="s">
        <v>8</v>
      </c>
      <c r="C2770" s="2">
        <f>HYPERLINK("https://sao.dolgi.msk.ru/account/1404197035/", 1404197035)</f>
        <v>1404197035</v>
      </c>
      <c r="D2770">
        <v>-10458.120000000001</v>
      </c>
    </row>
    <row r="2771" spans="1:4" hidden="1" x14ac:dyDescent="0.25">
      <c r="A2771" t="s">
        <v>645</v>
      </c>
      <c r="B2771" t="s">
        <v>9</v>
      </c>
      <c r="C2771" s="2">
        <f>HYPERLINK("https://sao.dolgi.msk.ru/account/1404196817/", 1404196817)</f>
        <v>1404196817</v>
      </c>
      <c r="D2771">
        <v>-7373.52</v>
      </c>
    </row>
    <row r="2772" spans="1:4" hidden="1" x14ac:dyDescent="0.25">
      <c r="A2772" t="s">
        <v>645</v>
      </c>
      <c r="B2772" t="s">
        <v>10</v>
      </c>
      <c r="C2772" s="2">
        <f>HYPERLINK("https://sao.dolgi.msk.ru/account/1404197027/", 1404197027)</f>
        <v>1404197027</v>
      </c>
      <c r="D2772">
        <v>-4189.5</v>
      </c>
    </row>
    <row r="2773" spans="1:4" hidden="1" x14ac:dyDescent="0.25">
      <c r="A2773" t="s">
        <v>645</v>
      </c>
      <c r="B2773" t="s">
        <v>11</v>
      </c>
      <c r="C2773" s="2">
        <f>HYPERLINK("https://sao.dolgi.msk.ru/account/1404196972/", 1404196972)</f>
        <v>1404196972</v>
      </c>
      <c r="D2773">
        <v>-4383.04</v>
      </c>
    </row>
    <row r="2774" spans="1:4" hidden="1" x14ac:dyDescent="0.25">
      <c r="A2774" t="s">
        <v>645</v>
      </c>
      <c r="B2774" t="s">
        <v>12</v>
      </c>
      <c r="C2774" s="2">
        <f>HYPERLINK("https://sao.dolgi.msk.ru/account/1404196745/", 1404196745)</f>
        <v>1404196745</v>
      </c>
      <c r="D2774">
        <v>-7464.64</v>
      </c>
    </row>
    <row r="2775" spans="1:4" hidden="1" x14ac:dyDescent="0.25">
      <c r="A2775" t="s">
        <v>645</v>
      </c>
      <c r="B2775" t="s">
        <v>13</v>
      </c>
      <c r="C2775" s="2">
        <f>HYPERLINK("https://sao.dolgi.msk.ru/account/1404195144/", 1404195144)</f>
        <v>1404195144</v>
      </c>
      <c r="D2775">
        <v>0</v>
      </c>
    </row>
    <row r="2776" spans="1:4" hidden="1" x14ac:dyDescent="0.25">
      <c r="A2776" t="s">
        <v>645</v>
      </c>
      <c r="B2776" t="s">
        <v>14</v>
      </c>
      <c r="C2776" s="2">
        <f>HYPERLINK("https://sao.dolgi.msk.ru/account/1404196024/", 1404196024)</f>
        <v>1404196024</v>
      </c>
      <c r="D2776">
        <v>-3517.3</v>
      </c>
    </row>
    <row r="2777" spans="1:4" x14ac:dyDescent="0.25">
      <c r="A2777" t="s">
        <v>645</v>
      </c>
      <c r="B2777" t="s">
        <v>15</v>
      </c>
      <c r="C2777" s="2">
        <f>HYPERLINK("https://sao.dolgi.msk.ru/account/1404197166/", 1404197166)</f>
        <v>1404197166</v>
      </c>
      <c r="D2777">
        <v>7772.34</v>
      </c>
    </row>
    <row r="2778" spans="1:4" hidden="1" x14ac:dyDescent="0.25">
      <c r="A2778" t="s">
        <v>645</v>
      </c>
      <c r="B2778" t="s">
        <v>16</v>
      </c>
      <c r="C2778" s="2">
        <f>HYPERLINK("https://sao.dolgi.msk.ru/account/1404196649/", 1404196649)</f>
        <v>1404196649</v>
      </c>
      <c r="D2778">
        <v>-4134.1400000000003</v>
      </c>
    </row>
    <row r="2779" spans="1:4" hidden="1" x14ac:dyDescent="0.25">
      <c r="A2779" t="s">
        <v>645</v>
      </c>
      <c r="B2779" t="s">
        <v>17</v>
      </c>
      <c r="C2779" s="2">
        <f>HYPERLINK("https://sao.dolgi.msk.ru/account/1404196964/", 1404196964)</f>
        <v>1404196964</v>
      </c>
      <c r="D2779">
        <v>-3455.37</v>
      </c>
    </row>
    <row r="2780" spans="1:4" x14ac:dyDescent="0.25">
      <c r="A2780" t="s">
        <v>645</v>
      </c>
      <c r="B2780" t="s">
        <v>18</v>
      </c>
      <c r="C2780" s="2">
        <f>HYPERLINK("https://sao.dolgi.msk.ru/account/1404196948/", 1404196948)</f>
        <v>1404196948</v>
      </c>
      <c r="D2780">
        <v>5028.76</v>
      </c>
    </row>
    <row r="2781" spans="1:4" hidden="1" x14ac:dyDescent="0.25">
      <c r="A2781" t="s">
        <v>645</v>
      </c>
      <c r="B2781" t="s">
        <v>19</v>
      </c>
      <c r="C2781" s="2">
        <f>HYPERLINK("https://sao.dolgi.msk.ru/account/1404196454/", 1404196454)</f>
        <v>1404196454</v>
      </c>
      <c r="D2781">
        <v>-4373.7299999999996</v>
      </c>
    </row>
    <row r="2782" spans="1:4" hidden="1" x14ac:dyDescent="0.25">
      <c r="A2782" t="s">
        <v>645</v>
      </c>
      <c r="B2782" t="s">
        <v>20</v>
      </c>
      <c r="C2782" s="2">
        <f>HYPERLINK("https://sao.dolgi.msk.ru/account/1404195881/", 1404195881)</f>
        <v>1404195881</v>
      </c>
      <c r="D2782">
        <v>0</v>
      </c>
    </row>
    <row r="2783" spans="1:4" hidden="1" x14ac:dyDescent="0.25">
      <c r="A2783" t="s">
        <v>645</v>
      </c>
      <c r="B2783" t="s">
        <v>21</v>
      </c>
      <c r="C2783" s="2">
        <f>HYPERLINK("https://sao.dolgi.msk.ru/account/1404196956/", 1404196956)</f>
        <v>1404196956</v>
      </c>
      <c r="D2783">
        <v>-3992.99</v>
      </c>
    </row>
    <row r="2784" spans="1:4" hidden="1" x14ac:dyDescent="0.25">
      <c r="A2784" t="s">
        <v>645</v>
      </c>
      <c r="B2784" t="s">
        <v>22</v>
      </c>
      <c r="C2784" s="2">
        <f>HYPERLINK("https://sao.dolgi.msk.ru/account/1404196462/", 1404196462)</f>
        <v>1404196462</v>
      </c>
      <c r="D2784">
        <v>-2925.55</v>
      </c>
    </row>
    <row r="2785" spans="1:4" hidden="1" x14ac:dyDescent="0.25">
      <c r="A2785" t="s">
        <v>645</v>
      </c>
      <c r="B2785" t="s">
        <v>23</v>
      </c>
      <c r="C2785" s="2">
        <f>HYPERLINK("https://sao.dolgi.msk.ru/account/1404195304/", 1404195304)</f>
        <v>1404195304</v>
      </c>
      <c r="D2785">
        <v>-6242.14</v>
      </c>
    </row>
    <row r="2786" spans="1:4" hidden="1" x14ac:dyDescent="0.25">
      <c r="A2786" t="s">
        <v>645</v>
      </c>
      <c r="B2786" t="s">
        <v>24</v>
      </c>
      <c r="C2786" s="2">
        <f>HYPERLINK("https://sao.dolgi.msk.ru/account/1404196294/", 1404196294)</f>
        <v>1404196294</v>
      </c>
      <c r="D2786">
        <v>-8669.64</v>
      </c>
    </row>
    <row r="2787" spans="1:4" x14ac:dyDescent="0.25">
      <c r="A2787" t="s">
        <v>645</v>
      </c>
      <c r="B2787" t="s">
        <v>25</v>
      </c>
      <c r="C2787" s="2">
        <f>HYPERLINK("https://sao.dolgi.msk.ru/account/1404195777/", 1404195777)</f>
        <v>1404195777</v>
      </c>
      <c r="D2787">
        <v>6440.46</v>
      </c>
    </row>
    <row r="2788" spans="1:4" hidden="1" x14ac:dyDescent="0.25">
      <c r="A2788" t="s">
        <v>645</v>
      </c>
      <c r="B2788" t="s">
        <v>26</v>
      </c>
      <c r="C2788" s="2">
        <f>HYPERLINK("https://sao.dolgi.msk.ru/account/1404197086/", 1404197086)</f>
        <v>1404197086</v>
      </c>
      <c r="D2788">
        <v>-4848.53</v>
      </c>
    </row>
    <row r="2789" spans="1:4" hidden="1" x14ac:dyDescent="0.25">
      <c r="A2789" t="s">
        <v>645</v>
      </c>
      <c r="B2789" t="s">
        <v>27</v>
      </c>
      <c r="C2789" s="2">
        <f>HYPERLINK("https://sao.dolgi.msk.ru/account/1404196382/", 1404196382)</f>
        <v>1404196382</v>
      </c>
      <c r="D2789">
        <v>-5704.6</v>
      </c>
    </row>
    <row r="2790" spans="1:4" hidden="1" x14ac:dyDescent="0.25">
      <c r="A2790" t="s">
        <v>645</v>
      </c>
      <c r="B2790" t="s">
        <v>28</v>
      </c>
      <c r="C2790" s="2">
        <f>HYPERLINK("https://sao.dolgi.msk.ru/account/1404196403/", 1404196403)</f>
        <v>1404196403</v>
      </c>
      <c r="D2790">
        <v>-6270.11</v>
      </c>
    </row>
    <row r="2791" spans="1:4" hidden="1" x14ac:dyDescent="0.25">
      <c r="A2791" t="s">
        <v>645</v>
      </c>
      <c r="B2791" t="s">
        <v>29</v>
      </c>
      <c r="C2791" s="2">
        <f>HYPERLINK("https://sao.dolgi.msk.ru/account/1404195857/", 1404195857)</f>
        <v>1404195857</v>
      </c>
      <c r="D2791">
        <v>-2974.69</v>
      </c>
    </row>
    <row r="2792" spans="1:4" hidden="1" x14ac:dyDescent="0.25">
      <c r="A2792" t="s">
        <v>645</v>
      </c>
      <c r="B2792" t="s">
        <v>30</v>
      </c>
      <c r="C2792" s="2">
        <f>HYPERLINK("https://sao.dolgi.msk.ru/account/1404196411/", 1404196411)</f>
        <v>1404196411</v>
      </c>
      <c r="D2792">
        <v>-4571.6400000000003</v>
      </c>
    </row>
    <row r="2793" spans="1:4" hidden="1" x14ac:dyDescent="0.25">
      <c r="A2793" t="s">
        <v>645</v>
      </c>
      <c r="B2793" t="s">
        <v>31</v>
      </c>
      <c r="C2793" s="2">
        <f>HYPERLINK("https://sao.dolgi.msk.ru/account/1404196438/", 1404196438)</f>
        <v>1404196438</v>
      </c>
      <c r="D2793">
        <v>-3751.04</v>
      </c>
    </row>
    <row r="2794" spans="1:4" x14ac:dyDescent="0.25">
      <c r="A2794" t="s">
        <v>645</v>
      </c>
      <c r="B2794" t="s">
        <v>32</v>
      </c>
      <c r="C2794" s="2">
        <f>HYPERLINK("https://sao.dolgi.msk.ru/account/1404195064/", 1404195064)</f>
        <v>1404195064</v>
      </c>
      <c r="D2794">
        <v>1100.82</v>
      </c>
    </row>
    <row r="2795" spans="1:4" x14ac:dyDescent="0.25">
      <c r="A2795" t="s">
        <v>645</v>
      </c>
      <c r="B2795" t="s">
        <v>33</v>
      </c>
      <c r="C2795" s="2">
        <f>HYPERLINK("https://sao.dolgi.msk.ru/account/1404196681/", 1404196681)</f>
        <v>1404196681</v>
      </c>
      <c r="D2795">
        <v>8854.75</v>
      </c>
    </row>
    <row r="2796" spans="1:4" hidden="1" x14ac:dyDescent="0.25">
      <c r="A2796" t="s">
        <v>645</v>
      </c>
      <c r="B2796" t="s">
        <v>34</v>
      </c>
      <c r="C2796" s="2">
        <f>HYPERLINK("https://sao.dolgi.msk.ru/account/1404196171/", 1404196171)</f>
        <v>1404196171</v>
      </c>
      <c r="D2796">
        <v>0</v>
      </c>
    </row>
    <row r="2797" spans="1:4" hidden="1" x14ac:dyDescent="0.25">
      <c r="A2797" t="s">
        <v>645</v>
      </c>
      <c r="B2797" t="s">
        <v>35</v>
      </c>
      <c r="C2797" s="2">
        <f>HYPERLINK("https://sao.dolgi.msk.ru/account/1404195363/", 1404195363)</f>
        <v>1404195363</v>
      </c>
      <c r="D2797">
        <v>-5303.59</v>
      </c>
    </row>
    <row r="2798" spans="1:4" hidden="1" x14ac:dyDescent="0.25">
      <c r="A2798" t="s">
        <v>645</v>
      </c>
      <c r="B2798" t="s">
        <v>36</v>
      </c>
      <c r="C2798" s="2">
        <f>HYPERLINK("https://sao.dolgi.msk.ru/account/1404195945/", 1404195945)</f>
        <v>1404195945</v>
      </c>
      <c r="D2798">
        <v>-6536.65</v>
      </c>
    </row>
    <row r="2799" spans="1:4" hidden="1" x14ac:dyDescent="0.25">
      <c r="A2799" t="s">
        <v>645</v>
      </c>
      <c r="B2799" t="s">
        <v>37</v>
      </c>
      <c r="C2799" s="2">
        <f>HYPERLINK("https://sao.dolgi.msk.ru/account/1404196753/", 1404196753)</f>
        <v>1404196753</v>
      </c>
      <c r="D2799">
        <v>-7543.57</v>
      </c>
    </row>
    <row r="2800" spans="1:4" hidden="1" x14ac:dyDescent="0.25">
      <c r="A2800" t="s">
        <v>645</v>
      </c>
      <c r="B2800" t="s">
        <v>38</v>
      </c>
      <c r="C2800" s="2">
        <f>HYPERLINK("https://sao.dolgi.msk.ru/account/1404195494/", 1404195494)</f>
        <v>1404195494</v>
      </c>
      <c r="D2800">
        <v>-5869.29</v>
      </c>
    </row>
    <row r="2801" spans="1:4" hidden="1" x14ac:dyDescent="0.25">
      <c r="A2801" t="s">
        <v>645</v>
      </c>
      <c r="B2801" t="s">
        <v>39</v>
      </c>
      <c r="C2801" s="2">
        <f>HYPERLINK("https://sao.dolgi.msk.ru/account/1404195507/", 1404195507)</f>
        <v>1404195507</v>
      </c>
      <c r="D2801">
        <v>0</v>
      </c>
    </row>
    <row r="2802" spans="1:4" hidden="1" x14ac:dyDescent="0.25">
      <c r="A2802" t="s">
        <v>645</v>
      </c>
      <c r="B2802" t="s">
        <v>40</v>
      </c>
      <c r="C2802" s="2">
        <f>HYPERLINK("https://sao.dolgi.msk.ru/account/1404195195/", 1404195195)</f>
        <v>1404195195</v>
      </c>
      <c r="D2802">
        <v>0</v>
      </c>
    </row>
    <row r="2803" spans="1:4" hidden="1" x14ac:dyDescent="0.25">
      <c r="A2803" t="s">
        <v>645</v>
      </c>
      <c r="B2803" t="s">
        <v>40</v>
      </c>
      <c r="C2803" s="2">
        <f>HYPERLINK("https://sao.dolgi.msk.ru/account/1404196868/", 1404196868)</f>
        <v>1404196868</v>
      </c>
      <c r="D2803">
        <v>0</v>
      </c>
    </row>
    <row r="2804" spans="1:4" hidden="1" x14ac:dyDescent="0.25">
      <c r="A2804" t="s">
        <v>645</v>
      </c>
      <c r="B2804" t="s">
        <v>41</v>
      </c>
      <c r="C2804" s="2">
        <f>HYPERLINK("https://sao.dolgi.msk.ru/account/1404195814/", 1404195814)</f>
        <v>1404195814</v>
      </c>
      <c r="D2804">
        <v>0</v>
      </c>
    </row>
    <row r="2805" spans="1:4" hidden="1" x14ac:dyDescent="0.25">
      <c r="A2805" t="s">
        <v>645</v>
      </c>
      <c r="B2805" t="s">
        <v>42</v>
      </c>
      <c r="C2805" s="2">
        <f>HYPERLINK("https://sao.dolgi.msk.ru/account/1404196884/", 1404196884)</f>
        <v>1404196884</v>
      </c>
      <c r="D2805">
        <v>-4295.7700000000004</v>
      </c>
    </row>
    <row r="2806" spans="1:4" hidden="1" x14ac:dyDescent="0.25">
      <c r="A2806" t="s">
        <v>645</v>
      </c>
      <c r="B2806" t="s">
        <v>43</v>
      </c>
      <c r="C2806" s="2">
        <f>HYPERLINK("https://sao.dolgi.msk.ru/account/1404197182/", 1404197182)</f>
        <v>1404197182</v>
      </c>
      <c r="D2806">
        <v>0</v>
      </c>
    </row>
    <row r="2807" spans="1:4" hidden="1" x14ac:dyDescent="0.25">
      <c r="A2807" t="s">
        <v>645</v>
      </c>
      <c r="B2807" t="s">
        <v>44</v>
      </c>
      <c r="C2807" s="2">
        <f>HYPERLINK("https://sao.dolgi.msk.ru/account/1404196665/", 1404196665)</f>
        <v>1404196665</v>
      </c>
      <c r="D2807">
        <v>-4360.2299999999996</v>
      </c>
    </row>
    <row r="2808" spans="1:4" hidden="1" x14ac:dyDescent="0.25">
      <c r="A2808" t="s">
        <v>645</v>
      </c>
      <c r="B2808" t="s">
        <v>45</v>
      </c>
      <c r="C2808" s="2">
        <f>HYPERLINK("https://sao.dolgi.msk.ru/account/1404196761/", 1404196761)</f>
        <v>1404196761</v>
      </c>
      <c r="D2808">
        <v>-6228.49</v>
      </c>
    </row>
    <row r="2809" spans="1:4" hidden="1" x14ac:dyDescent="0.25">
      <c r="A2809" t="s">
        <v>645</v>
      </c>
      <c r="B2809" t="s">
        <v>46</v>
      </c>
      <c r="C2809" s="2">
        <f>HYPERLINK("https://sao.dolgi.msk.ru/account/1404195988/", 1404195988)</f>
        <v>1404195988</v>
      </c>
      <c r="D2809">
        <v>0</v>
      </c>
    </row>
    <row r="2810" spans="1:4" x14ac:dyDescent="0.25">
      <c r="A2810" t="s">
        <v>645</v>
      </c>
      <c r="B2810" t="s">
        <v>47</v>
      </c>
      <c r="C2810" s="2">
        <f>HYPERLINK("https://sao.dolgi.msk.ru/account/1404195419/", 1404195419)</f>
        <v>1404195419</v>
      </c>
      <c r="D2810">
        <v>6168.75</v>
      </c>
    </row>
    <row r="2811" spans="1:4" hidden="1" x14ac:dyDescent="0.25">
      <c r="A2811" t="s">
        <v>645</v>
      </c>
      <c r="B2811" t="s">
        <v>48</v>
      </c>
      <c r="C2811" s="2">
        <f>HYPERLINK("https://sao.dolgi.msk.ru/account/1404196569/", 1404196569)</f>
        <v>1404196569</v>
      </c>
      <c r="D2811">
        <v>-5665.11</v>
      </c>
    </row>
    <row r="2812" spans="1:4" hidden="1" x14ac:dyDescent="0.25">
      <c r="A2812" t="s">
        <v>645</v>
      </c>
      <c r="B2812" t="s">
        <v>49</v>
      </c>
      <c r="C2812" s="2">
        <f>HYPERLINK("https://sao.dolgi.msk.ru/account/1404196788/", 1404196788)</f>
        <v>1404196788</v>
      </c>
      <c r="D2812">
        <v>0</v>
      </c>
    </row>
    <row r="2813" spans="1:4" x14ac:dyDescent="0.25">
      <c r="A2813" t="s">
        <v>645</v>
      </c>
      <c r="B2813" t="s">
        <v>50</v>
      </c>
      <c r="C2813" s="2">
        <f>HYPERLINK("https://sao.dolgi.msk.ru/account/1404196673/", 1404196673)</f>
        <v>1404196673</v>
      </c>
      <c r="D2813">
        <v>2799.46</v>
      </c>
    </row>
    <row r="2814" spans="1:4" hidden="1" x14ac:dyDescent="0.25">
      <c r="A2814" t="s">
        <v>645</v>
      </c>
      <c r="B2814" t="s">
        <v>51</v>
      </c>
      <c r="C2814" s="2">
        <f>HYPERLINK("https://sao.dolgi.msk.ru/account/1404196905/", 1404196905)</f>
        <v>1404196905</v>
      </c>
      <c r="D2814">
        <v>0</v>
      </c>
    </row>
    <row r="2815" spans="1:4" hidden="1" x14ac:dyDescent="0.25">
      <c r="A2815" t="s">
        <v>645</v>
      </c>
      <c r="B2815" t="s">
        <v>52</v>
      </c>
      <c r="C2815" s="2">
        <f>HYPERLINK("https://sao.dolgi.msk.ru/account/1404195566/", 1404195566)</f>
        <v>1404195566</v>
      </c>
      <c r="D2815">
        <v>-9577.89</v>
      </c>
    </row>
    <row r="2816" spans="1:4" hidden="1" x14ac:dyDescent="0.25">
      <c r="A2816" t="s">
        <v>645</v>
      </c>
      <c r="B2816" t="s">
        <v>53</v>
      </c>
      <c r="C2816" s="2">
        <f>HYPERLINK("https://sao.dolgi.msk.ru/account/1404195574/", 1404195574)</f>
        <v>1404195574</v>
      </c>
      <c r="D2816">
        <v>-7891.83</v>
      </c>
    </row>
    <row r="2817" spans="1:4" hidden="1" x14ac:dyDescent="0.25">
      <c r="A2817" t="s">
        <v>645</v>
      </c>
      <c r="B2817" t="s">
        <v>54</v>
      </c>
      <c r="C2817" s="2">
        <f>HYPERLINK("https://sao.dolgi.msk.ru/account/1404195718/", 1404195718)</f>
        <v>1404195718</v>
      </c>
      <c r="D2817">
        <v>-5327.38</v>
      </c>
    </row>
    <row r="2818" spans="1:4" hidden="1" x14ac:dyDescent="0.25">
      <c r="A2818" t="s">
        <v>645</v>
      </c>
      <c r="B2818" t="s">
        <v>55</v>
      </c>
      <c r="C2818" s="2">
        <f>HYPERLINK("https://sao.dolgi.msk.ru/account/1404196702/", 1404196702)</f>
        <v>1404196702</v>
      </c>
      <c r="D2818">
        <v>-5655.78</v>
      </c>
    </row>
    <row r="2819" spans="1:4" hidden="1" x14ac:dyDescent="0.25">
      <c r="A2819" t="s">
        <v>645</v>
      </c>
      <c r="B2819" t="s">
        <v>56</v>
      </c>
      <c r="C2819" s="2">
        <f>HYPERLINK("https://sao.dolgi.msk.ru/account/1404195638/", 1404195638)</f>
        <v>1404195638</v>
      </c>
      <c r="D2819">
        <v>0</v>
      </c>
    </row>
    <row r="2820" spans="1:4" hidden="1" x14ac:dyDescent="0.25">
      <c r="A2820" t="s">
        <v>645</v>
      </c>
      <c r="B2820" t="s">
        <v>57</v>
      </c>
      <c r="C2820" s="2">
        <f>HYPERLINK("https://sao.dolgi.msk.ru/account/1404195865/", 1404195865)</f>
        <v>1404195865</v>
      </c>
      <c r="D2820">
        <v>-11565.66</v>
      </c>
    </row>
    <row r="2821" spans="1:4" x14ac:dyDescent="0.25">
      <c r="A2821" t="s">
        <v>645</v>
      </c>
      <c r="B2821" t="s">
        <v>58</v>
      </c>
      <c r="C2821" s="2">
        <f>HYPERLINK("https://sao.dolgi.msk.ru/account/1404195937/", 1404195937)</f>
        <v>1404195937</v>
      </c>
      <c r="D2821">
        <v>7399.31</v>
      </c>
    </row>
    <row r="2822" spans="1:4" hidden="1" x14ac:dyDescent="0.25">
      <c r="A2822" t="s">
        <v>645</v>
      </c>
      <c r="B2822" t="s">
        <v>59</v>
      </c>
      <c r="C2822" s="2">
        <f>HYPERLINK("https://sao.dolgi.msk.ru/account/1404196243/", 1404196243)</f>
        <v>1404196243</v>
      </c>
      <c r="D2822">
        <v>0</v>
      </c>
    </row>
    <row r="2823" spans="1:4" hidden="1" x14ac:dyDescent="0.25">
      <c r="A2823" t="s">
        <v>645</v>
      </c>
      <c r="B2823" t="s">
        <v>60</v>
      </c>
      <c r="C2823" s="2">
        <f>HYPERLINK("https://sao.dolgi.msk.ru/account/1404196251/", 1404196251)</f>
        <v>1404196251</v>
      </c>
      <c r="D2823">
        <v>-6768.01</v>
      </c>
    </row>
    <row r="2824" spans="1:4" hidden="1" x14ac:dyDescent="0.25">
      <c r="A2824" t="s">
        <v>645</v>
      </c>
      <c r="B2824" t="s">
        <v>61</v>
      </c>
      <c r="C2824" s="2">
        <f>HYPERLINK("https://sao.dolgi.msk.ru/account/1404196198/", 1404196198)</f>
        <v>1404196198</v>
      </c>
      <c r="D2824">
        <v>0</v>
      </c>
    </row>
    <row r="2825" spans="1:4" x14ac:dyDescent="0.25">
      <c r="A2825" t="s">
        <v>645</v>
      </c>
      <c r="B2825" t="s">
        <v>62</v>
      </c>
      <c r="C2825" s="2">
        <f>HYPERLINK("https://sao.dolgi.msk.ru/account/1404196526/", 1404196526)</f>
        <v>1404196526</v>
      </c>
      <c r="D2825">
        <v>26310.04</v>
      </c>
    </row>
    <row r="2826" spans="1:4" hidden="1" x14ac:dyDescent="0.25">
      <c r="A2826" t="s">
        <v>645</v>
      </c>
      <c r="B2826" t="s">
        <v>63</v>
      </c>
      <c r="C2826" s="2">
        <f>HYPERLINK("https://sao.dolgi.msk.ru/account/1404196219/", 1404196219)</f>
        <v>1404196219</v>
      </c>
      <c r="D2826">
        <v>0</v>
      </c>
    </row>
    <row r="2827" spans="1:4" hidden="1" x14ac:dyDescent="0.25">
      <c r="A2827" t="s">
        <v>645</v>
      </c>
      <c r="B2827" t="s">
        <v>64</v>
      </c>
      <c r="C2827" s="2">
        <f>HYPERLINK("https://sao.dolgi.msk.ru/account/1404195371/", 1404195371)</f>
        <v>1404195371</v>
      </c>
      <c r="D2827">
        <v>0</v>
      </c>
    </row>
    <row r="2828" spans="1:4" hidden="1" x14ac:dyDescent="0.25">
      <c r="A2828" t="s">
        <v>645</v>
      </c>
      <c r="B2828" t="s">
        <v>65</v>
      </c>
      <c r="C2828" s="2">
        <f>HYPERLINK("https://sao.dolgi.msk.ru/account/1404196155/", 1404196155)</f>
        <v>1404196155</v>
      </c>
      <c r="D2828">
        <v>-6941.29</v>
      </c>
    </row>
    <row r="2829" spans="1:4" x14ac:dyDescent="0.25">
      <c r="A2829" t="s">
        <v>645</v>
      </c>
      <c r="B2829" t="s">
        <v>66</v>
      </c>
      <c r="C2829" s="2">
        <f>HYPERLINK("https://sao.dolgi.msk.ru/account/1404196657/", 1404196657)</f>
        <v>1404196657</v>
      </c>
      <c r="D2829">
        <v>20417.560000000001</v>
      </c>
    </row>
    <row r="2830" spans="1:4" hidden="1" x14ac:dyDescent="0.25">
      <c r="A2830" t="s">
        <v>645</v>
      </c>
      <c r="B2830" t="s">
        <v>67</v>
      </c>
      <c r="C2830" s="2">
        <f>HYPERLINK("https://sao.dolgi.msk.ru/account/1404196032/", 1404196032)</f>
        <v>1404196032</v>
      </c>
      <c r="D2830">
        <v>-5228.4799999999996</v>
      </c>
    </row>
    <row r="2831" spans="1:4" x14ac:dyDescent="0.25">
      <c r="A2831" t="s">
        <v>645</v>
      </c>
      <c r="B2831" t="s">
        <v>68</v>
      </c>
      <c r="C2831" s="2">
        <f>HYPERLINK("https://sao.dolgi.msk.ru/account/1404196374/", 1404196374)</f>
        <v>1404196374</v>
      </c>
      <c r="D2831">
        <v>9622.89</v>
      </c>
    </row>
    <row r="2832" spans="1:4" hidden="1" x14ac:dyDescent="0.25">
      <c r="A2832" t="s">
        <v>645</v>
      </c>
      <c r="B2832" t="s">
        <v>69</v>
      </c>
      <c r="C2832" s="2">
        <f>HYPERLINK("https://sao.dolgi.msk.ru/account/1404196278/", 1404196278)</f>
        <v>1404196278</v>
      </c>
      <c r="D2832">
        <v>0</v>
      </c>
    </row>
    <row r="2833" spans="1:4" hidden="1" x14ac:dyDescent="0.25">
      <c r="A2833" t="s">
        <v>645</v>
      </c>
      <c r="B2833" t="s">
        <v>70</v>
      </c>
      <c r="C2833" s="2">
        <f>HYPERLINK("https://sao.dolgi.msk.ru/account/1404195101/", 1404195101)</f>
        <v>1404195101</v>
      </c>
      <c r="D2833">
        <v>-5805.42</v>
      </c>
    </row>
    <row r="2834" spans="1:4" hidden="1" x14ac:dyDescent="0.25">
      <c r="A2834" t="s">
        <v>645</v>
      </c>
      <c r="B2834" t="s">
        <v>71</v>
      </c>
      <c r="C2834" s="2">
        <f>HYPERLINK("https://sao.dolgi.msk.ru/account/1404196147/", 1404196147)</f>
        <v>1404196147</v>
      </c>
      <c r="D2834">
        <v>-3511.76</v>
      </c>
    </row>
    <row r="2835" spans="1:4" hidden="1" x14ac:dyDescent="0.25">
      <c r="A2835" t="s">
        <v>645</v>
      </c>
      <c r="B2835" t="s">
        <v>72</v>
      </c>
      <c r="C2835" s="2">
        <f>HYPERLINK("https://sao.dolgi.msk.ru/account/1404195902/", 1404195902)</f>
        <v>1404195902</v>
      </c>
      <c r="D2835">
        <v>-15526.05</v>
      </c>
    </row>
    <row r="2836" spans="1:4" hidden="1" x14ac:dyDescent="0.25">
      <c r="A2836" t="s">
        <v>645</v>
      </c>
      <c r="B2836" t="s">
        <v>73</v>
      </c>
      <c r="C2836" s="2">
        <f>HYPERLINK("https://sao.dolgi.msk.ru/account/1404195929/", 1404195929)</f>
        <v>1404195929</v>
      </c>
      <c r="D2836">
        <v>-5568.37</v>
      </c>
    </row>
    <row r="2837" spans="1:4" x14ac:dyDescent="0.25">
      <c r="A2837" t="s">
        <v>645</v>
      </c>
      <c r="B2837" t="s">
        <v>74</v>
      </c>
      <c r="C2837" s="2">
        <f>HYPERLINK("https://sao.dolgi.msk.ru/account/1404195451/", 1404195451)</f>
        <v>1404195451</v>
      </c>
      <c r="D2837">
        <v>11441.54</v>
      </c>
    </row>
    <row r="2838" spans="1:4" hidden="1" x14ac:dyDescent="0.25">
      <c r="A2838" t="s">
        <v>645</v>
      </c>
      <c r="B2838" t="s">
        <v>75</v>
      </c>
      <c r="C2838" s="2">
        <f>HYPERLINK("https://sao.dolgi.msk.ru/account/1404196489/", 1404196489)</f>
        <v>1404196489</v>
      </c>
      <c r="D2838">
        <v>0</v>
      </c>
    </row>
    <row r="2839" spans="1:4" x14ac:dyDescent="0.25">
      <c r="A2839" t="s">
        <v>645</v>
      </c>
      <c r="B2839" t="s">
        <v>76</v>
      </c>
      <c r="C2839" s="2">
        <f>HYPERLINK("https://sao.dolgi.msk.ru/account/1404197051/", 1404197051)</f>
        <v>1404197051</v>
      </c>
      <c r="D2839">
        <v>14274.03</v>
      </c>
    </row>
    <row r="2840" spans="1:4" hidden="1" x14ac:dyDescent="0.25">
      <c r="A2840" t="s">
        <v>645</v>
      </c>
      <c r="B2840" t="s">
        <v>77</v>
      </c>
      <c r="C2840" s="2">
        <f>HYPERLINK("https://sao.dolgi.msk.ru/account/1404197078/", 1404197078)</f>
        <v>1404197078</v>
      </c>
      <c r="D2840">
        <v>0</v>
      </c>
    </row>
    <row r="2841" spans="1:4" hidden="1" x14ac:dyDescent="0.25">
      <c r="A2841" t="s">
        <v>645</v>
      </c>
      <c r="B2841" t="s">
        <v>78</v>
      </c>
      <c r="C2841" s="2">
        <f>HYPERLINK("https://sao.dolgi.msk.ru/account/1404195216/", 1404195216)</f>
        <v>1404195216</v>
      </c>
      <c r="D2841">
        <v>0</v>
      </c>
    </row>
    <row r="2842" spans="1:4" hidden="1" x14ac:dyDescent="0.25">
      <c r="A2842" t="s">
        <v>645</v>
      </c>
      <c r="B2842" t="s">
        <v>79</v>
      </c>
      <c r="C2842" s="2">
        <f>HYPERLINK("https://sao.dolgi.msk.ru/account/1404196112/", 1404196112)</f>
        <v>1404196112</v>
      </c>
      <c r="D2842">
        <v>0</v>
      </c>
    </row>
    <row r="2843" spans="1:4" hidden="1" x14ac:dyDescent="0.25">
      <c r="A2843" t="s">
        <v>645</v>
      </c>
      <c r="B2843" t="s">
        <v>80</v>
      </c>
      <c r="C2843" s="2">
        <f>HYPERLINK("https://sao.dolgi.msk.ru/account/1404196446/", 1404196446)</f>
        <v>1404196446</v>
      </c>
      <c r="D2843">
        <v>-3563.38</v>
      </c>
    </row>
    <row r="2844" spans="1:4" hidden="1" x14ac:dyDescent="0.25">
      <c r="A2844" t="s">
        <v>645</v>
      </c>
      <c r="B2844" t="s">
        <v>81</v>
      </c>
      <c r="C2844" s="2">
        <f>HYPERLINK("https://sao.dolgi.msk.ru/account/1404196518/", 1404196518)</f>
        <v>1404196518</v>
      </c>
      <c r="D2844">
        <v>-2472.87</v>
      </c>
    </row>
    <row r="2845" spans="1:4" x14ac:dyDescent="0.25">
      <c r="A2845" t="s">
        <v>645</v>
      </c>
      <c r="B2845" t="s">
        <v>82</v>
      </c>
      <c r="C2845" s="2">
        <f>HYPERLINK("https://sao.dolgi.msk.ru/account/1404195152/", 1404195152)</f>
        <v>1404195152</v>
      </c>
      <c r="D2845">
        <v>10960.65</v>
      </c>
    </row>
    <row r="2846" spans="1:4" x14ac:dyDescent="0.25">
      <c r="A2846" t="s">
        <v>645</v>
      </c>
      <c r="B2846" t="s">
        <v>83</v>
      </c>
      <c r="C2846" s="2">
        <f>HYPERLINK("https://sao.dolgi.msk.ru/account/1404195179/", 1404195179)</f>
        <v>1404195179</v>
      </c>
      <c r="D2846">
        <v>53548.32</v>
      </c>
    </row>
    <row r="2847" spans="1:4" hidden="1" x14ac:dyDescent="0.25">
      <c r="A2847" t="s">
        <v>645</v>
      </c>
      <c r="B2847" t="s">
        <v>84</v>
      </c>
      <c r="C2847" s="2">
        <f>HYPERLINK("https://sao.dolgi.msk.ru/account/1404195398/", 1404195398)</f>
        <v>1404195398</v>
      </c>
      <c r="D2847">
        <v>0</v>
      </c>
    </row>
    <row r="2848" spans="1:4" hidden="1" x14ac:dyDescent="0.25">
      <c r="A2848" t="s">
        <v>645</v>
      </c>
      <c r="B2848" t="s">
        <v>85</v>
      </c>
      <c r="C2848" s="2">
        <f>HYPERLINK("https://sao.dolgi.msk.ru/account/1404196227/", 1404196227)</f>
        <v>1404196227</v>
      </c>
      <c r="D2848">
        <v>-5420.71</v>
      </c>
    </row>
    <row r="2849" spans="1:4" hidden="1" x14ac:dyDescent="0.25">
      <c r="A2849" t="s">
        <v>645</v>
      </c>
      <c r="B2849" t="s">
        <v>86</v>
      </c>
      <c r="C2849" s="2">
        <f>HYPERLINK("https://sao.dolgi.msk.ru/account/1404196059/", 1404196059)</f>
        <v>1404196059</v>
      </c>
      <c r="D2849">
        <v>-3463</v>
      </c>
    </row>
    <row r="2850" spans="1:4" hidden="1" x14ac:dyDescent="0.25">
      <c r="A2850" t="s">
        <v>645</v>
      </c>
      <c r="B2850" t="s">
        <v>87</v>
      </c>
      <c r="C2850" s="2">
        <f>HYPERLINK("https://sao.dolgi.msk.ru/account/1404195515/", 1404195515)</f>
        <v>1404195515</v>
      </c>
      <c r="D2850">
        <v>-5484.86</v>
      </c>
    </row>
    <row r="2851" spans="1:4" hidden="1" x14ac:dyDescent="0.25">
      <c r="A2851" t="s">
        <v>645</v>
      </c>
      <c r="B2851" t="s">
        <v>88</v>
      </c>
      <c r="C2851" s="2">
        <f>HYPERLINK("https://sao.dolgi.msk.ru/account/1404196235/", 1404196235)</f>
        <v>1404196235</v>
      </c>
      <c r="D2851">
        <v>0</v>
      </c>
    </row>
    <row r="2852" spans="1:4" x14ac:dyDescent="0.25">
      <c r="A2852" t="s">
        <v>645</v>
      </c>
      <c r="B2852" t="s">
        <v>88</v>
      </c>
      <c r="C2852" s="2">
        <f>HYPERLINK("https://sao.dolgi.msk.ru/account/1404196833/", 1404196833)</f>
        <v>1404196833</v>
      </c>
      <c r="D2852">
        <v>5836.49</v>
      </c>
    </row>
    <row r="2853" spans="1:4" hidden="1" x14ac:dyDescent="0.25">
      <c r="A2853" t="s">
        <v>645</v>
      </c>
      <c r="B2853" t="s">
        <v>88</v>
      </c>
      <c r="C2853" s="2">
        <f>HYPERLINK("https://sao.dolgi.msk.ru/account/1404197174/", 1404197174)</f>
        <v>1404197174</v>
      </c>
      <c r="D2853">
        <v>0</v>
      </c>
    </row>
    <row r="2854" spans="1:4" hidden="1" x14ac:dyDescent="0.25">
      <c r="A2854" t="s">
        <v>645</v>
      </c>
      <c r="B2854" t="s">
        <v>89</v>
      </c>
      <c r="C2854" s="2">
        <f>HYPERLINK("https://sao.dolgi.msk.ru/account/1404195822/", 1404195822)</f>
        <v>1404195822</v>
      </c>
      <c r="D2854">
        <v>-5453.69</v>
      </c>
    </row>
    <row r="2855" spans="1:4" hidden="1" x14ac:dyDescent="0.25">
      <c r="A2855" t="s">
        <v>645</v>
      </c>
      <c r="B2855" t="s">
        <v>90</v>
      </c>
      <c r="C2855" s="2">
        <f>HYPERLINK("https://sao.dolgi.msk.ru/account/1404195523/", 1404195523)</f>
        <v>1404195523</v>
      </c>
      <c r="D2855">
        <v>-5996.3</v>
      </c>
    </row>
    <row r="2856" spans="1:4" hidden="1" x14ac:dyDescent="0.25">
      <c r="A2856" t="s">
        <v>645</v>
      </c>
      <c r="B2856" t="s">
        <v>91</v>
      </c>
      <c r="C2856" s="2">
        <f>HYPERLINK("https://sao.dolgi.msk.ru/account/1404195486/", 1404195486)</f>
        <v>1404195486</v>
      </c>
      <c r="D2856">
        <v>-6684.88</v>
      </c>
    </row>
    <row r="2857" spans="1:4" x14ac:dyDescent="0.25">
      <c r="A2857" t="s">
        <v>645</v>
      </c>
      <c r="B2857" t="s">
        <v>92</v>
      </c>
      <c r="C2857" s="2">
        <f>HYPERLINK("https://sao.dolgi.msk.ru/account/1404196358/", 1404196358)</f>
        <v>1404196358</v>
      </c>
      <c r="D2857">
        <v>1775.43</v>
      </c>
    </row>
    <row r="2858" spans="1:4" hidden="1" x14ac:dyDescent="0.25">
      <c r="A2858" t="s">
        <v>645</v>
      </c>
      <c r="B2858" t="s">
        <v>93</v>
      </c>
      <c r="C2858" s="2">
        <f>HYPERLINK("https://sao.dolgi.msk.ru/account/1404195531/", 1404195531)</f>
        <v>1404195531</v>
      </c>
      <c r="D2858">
        <v>-508.29</v>
      </c>
    </row>
    <row r="2859" spans="1:4" hidden="1" x14ac:dyDescent="0.25">
      <c r="A2859" t="s">
        <v>645</v>
      </c>
      <c r="B2859" t="s">
        <v>94</v>
      </c>
      <c r="C2859" s="2">
        <f>HYPERLINK("https://sao.dolgi.msk.ru/account/1404196067/", 1404196067)</f>
        <v>1404196067</v>
      </c>
      <c r="D2859">
        <v>0</v>
      </c>
    </row>
    <row r="2860" spans="1:4" x14ac:dyDescent="0.25">
      <c r="A2860" t="s">
        <v>645</v>
      </c>
      <c r="B2860" t="s">
        <v>95</v>
      </c>
      <c r="C2860" s="2">
        <f>HYPERLINK("https://sao.dolgi.msk.ru/account/1404196542/", 1404196542)</f>
        <v>1404196542</v>
      </c>
      <c r="D2860">
        <v>9731.4500000000007</v>
      </c>
    </row>
    <row r="2861" spans="1:4" hidden="1" x14ac:dyDescent="0.25">
      <c r="A2861" t="s">
        <v>645</v>
      </c>
      <c r="B2861" t="s">
        <v>96</v>
      </c>
      <c r="C2861" s="2">
        <f>HYPERLINK("https://sao.dolgi.msk.ru/account/1404196497/", 1404196497)</f>
        <v>1404196497</v>
      </c>
      <c r="D2861">
        <v>-8173.25</v>
      </c>
    </row>
    <row r="2862" spans="1:4" hidden="1" x14ac:dyDescent="0.25">
      <c r="A2862" t="s">
        <v>645</v>
      </c>
      <c r="B2862" t="s">
        <v>97</v>
      </c>
      <c r="C2862" s="2">
        <f>HYPERLINK("https://sao.dolgi.msk.ru/account/1404195689/", 1404195689)</f>
        <v>1404195689</v>
      </c>
      <c r="D2862">
        <v>-4907.72</v>
      </c>
    </row>
    <row r="2863" spans="1:4" x14ac:dyDescent="0.25">
      <c r="A2863" t="s">
        <v>645</v>
      </c>
      <c r="B2863" t="s">
        <v>98</v>
      </c>
      <c r="C2863" s="2">
        <f>HYPERLINK("https://sao.dolgi.msk.ru/account/1404196577/", 1404196577)</f>
        <v>1404196577</v>
      </c>
      <c r="D2863">
        <v>10701.48</v>
      </c>
    </row>
    <row r="2864" spans="1:4" hidden="1" x14ac:dyDescent="0.25">
      <c r="A2864" t="s">
        <v>645</v>
      </c>
      <c r="B2864" t="s">
        <v>99</v>
      </c>
      <c r="C2864" s="2">
        <f>HYPERLINK("https://sao.dolgi.msk.ru/account/1404197043/", 1404197043)</f>
        <v>1404197043</v>
      </c>
      <c r="D2864">
        <v>0</v>
      </c>
    </row>
    <row r="2865" spans="1:4" hidden="1" x14ac:dyDescent="0.25">
      <c r="A2865" t="s">
        <v>645</v>
      </c>
      <c r="B2865" t="s">
        <v>100</v>
      </c>
      <c r="C2865" s="2">
        <f>HYPERLINK("https://sao.dolgi.msk.ru/account/1404196366/", 1404196366)</f>
        <v>1404196366</v>
      </c>
      <c r="D2865">
        <v>-5569.64</v>
      </c>
    </row>
    <row r="2866" spans="1:4" hidden="1" x14ac:dyDescent="0.25">
      <c r="A2866" t="s">
        <v>645</v>
      </c>
      <c r="B2866" t="s">
        <v>101</v>
      </c>
      <c r="C2866" s="2">
        <f>HYPERLINK("https://sao.dolgi.msk.ru/account/1404196163/", 1404196163)</f>
        <v>1404196163</v>
      </c>
      <c r="D2866">
        <v>-3403.26</v>
      </c>
    </row>
    <row r="2867" spans="1:4" hidden="1" x14ac:dyDescent="0.25">
      <c r="A2867" t="s">
        <v>645</v>
      </c>
      <c r="B2867" t="s">
        <v>102</v>
      </c>
      <c r="C2867" s="2">
        <f>HYPERLINK("https://sao.dolgi.msk.ru/account/1404195208/", 1404195208)</f>
        <v>1404195208</v>
      </c>
      <c r="D2867">
        <v>0</v>
      </c>
    </row>
    <row r="2868" spans="1:4" x14ac:dyDescent="0.25">
      <c r="A2868" t="s">
        <v>645</v>
      </c>
      <c r="B2868" t="s">
        <v>103</v>
      </c>
      <c r="C2868" s="2">
        <f>HYPERLINK("https://sao.dolgi.msk.ru/account/1404195726/", 1404195726)</f>
        <v>1404195726</v>
      </c>
      <c r="D2868">
        <v>11279.73</v>
      </c>
    </row>
    <row r="2869" spans="1:4" hidden="1" x14ac:dyDescent="0.25">
      <c r="A2869" t="s">
        <v>645</v>
      </c>
      <c r="B2869" t="s">
        <v>104</v>
      </c>
      <c r="C2869" s="2">
        <f>HYPERLINK("https://sao.dolgi.msk.ru/account/1404196737/", 1404196737)</f>
        <v>1404196737</v>
      </c>
      <c r="D2869">
        <v>0</v>
      </c>
    </row>
    <row r="2870" spans="1:4" hidden="1" x14ac:dyDescent="0.25">
      <c r="A2870" t="s">
        <v>645</v>
      </c>
      <c r="B2870" t="s">
        <v>105</v>
      </c>
      <c r="C2870" s="2">
        <f>HYPERLINK("https://sao.dolgi.msk.ru/account/1404196825/", 1404196825)</f>
        <v>1404196825</v>
      </c>
      <c r="D2870">
        <v>-6062.34</v>
      </c>
    </row>
    <row r="2871" spans="1:4" hidden="1" x14ac:dyDescent="0.25">
      <c r="A2871" t="s">
        <v>645</v>
      </c>
      <c r="B2871" t="s">
        <v>106</v>
      </c>
      <c r="C2871" s="2">
        <f>HYPERLINK("https://sao.dolgi.msk.ru/account/1404195961/", 1404195961)</f>
        <v>1404195961</v>
      </c>
      <c r="D2871">
        <v>-6570.37</v>
      </c>
    </row>
    <row r="2872" spans="1:4" hidden="1" x14ac:dyDescent="0.25">
      <c r="A2872" t="s">
        <v>645</v>
      </c>
      <c r="B2872" t="s">
        <v>107</v>
      </c>
      <c r="C2872" s="2">
        <f>HYPERLINK("https://sao.dolgi.msk.ru/account/1404197203/", 1404197203)</f>
        <v>1404197203</v>
      </c>
      <c r="D2872">
        <v>-7983.6</v>
      </c>
    </row>
    <row r="2873" spans="1:4" hidden="1" x14ac:dyDescent="0.25">
      <c r="A2873" t="s">
        <v>645</v>
      </c>
      <c r="B2873" t="s">
        <v>108</v>
      </c>
      <c r="C2873" s="2">
        <f>HYPERLINK("https://sao.dolgi.msk.ru/account/1404195267/", 1404195267)</f>
        <v>1404195267</v>
      </c>
      <c r="D2873">
        <v>0</v>
      </c>
    </row>
    <row r="2874" spans="1:4" hidden="1" x14ac:dyDescent="0.25">
      <c r="A2874" t="s">
        <v>645</v>
      </c>
      <c r="B2874" t="s">
        <v>109</v>
      </c>
      <c r="C2874" s="2">
        <f>HYPERLINK("https://sao.dolgi.msk.ru/account/1404196323/", 1404196323)</f>
        <v>1404196323</v>
      </c>
      <c r="D2874">
        <v>-5996.28</v>
      </c>
    </row>
    <row r="2875" spans="1:4" hidden="1" x14ac:dyDescent="0.25">
      <c r="A2875" t="s">
        <v>645</v>
      </c>
      <c r="B2875" t="s">
        <v>110</v>
      </c>
      <c r="C2875" s="2">
        <f>HYPERLINK("https://sao.dolgi.msk.ru/account/1404195953/", 1404195953)</f>
        <v>1404195953</v>
      </c>
      <c r="D2875">
        <v>-6095.58</v>
      </c>
    </row>
    <row r="2876" spans="1:4" hidden="1" x14ac:dyDescent="0.25">
      <c r="A2876" t="s">
        <v>645</v>
      </c>
      <c r="B2876" t="s">
        <v>111</v>
      </c>
      <c r="C2876" s="2">
        <f>HYPERLINK("https://sao.dolgi.msk.ru/account/1404196083/", 1404196083)</f>
        <v>1404196083</v>
      </c>
      <c r="D2876">
        <v>0</v>
      </c>
    </row>
    <row r="2877" spans="1:4" hidden="1" x14ac:dyDescent="0.25">
      <c r="A2877" t="s">
        <v>645</v>
      </c>
      <c r="B2877" t="s">
        <v>112</v>
      </c>
      <c r="C2877" s="2">
        <f>HYPERLINK("https://sao.dolgi.msk.ru/account/1404195582/", 1404195582)</f>
        <v>1404195582</v>
      </c>
      <c r="D2877">
        <v>-6769.25</v>
      </c>
    </row>
    <row r="2878" spans="1:4" x14ac:dyDescent="0.25">
      <c r="A2878" t="s">
        <v>645</v>
      </c>
      <c r="B2878" t="s">
        <v>113</v>
      </c>
      <c r="C2878" s="2">
        <f>HYPERLINK("https://sao.dolgi.msk.ru/account/1404196729/", 1404196729)</f>
        <v>1404196729</v>
      </c>
      <c r="D2878">
        <v>4100.26</v>
      </c>
    </row>
    <row r="2879" spans="1:4" hidden="1" x14ac:dyDescent="0.25">
      <c r="A2879" t="s">
        <v>645</v>
      </c>
      <c r="B2879" t="s">
        <v>114</v>
      </c>
      <c r="C2879" s="2">
        <f>HYPERLINK("https://sao.dolgi.msk.ru/account/1404195275/", 1404195275)</f>
        <v>1404195275</v>
      </c>
      <c r="D2879">
        <v>-5390.91</v>
      </c>
    </row>
    <row r="2880" spans="1:4" hidden="1" x14ac:dyDescent="0.25">
      <c r="A2880" t="s">
        <v>645</v>
      </c>
      <c r="B2880" t="s">
        <v>115</v>
      </c>
      <c r="C2880" s="2">
        <f>HYPERLINK("https://sao.dolgi.msk.ru/account/1404195646/", 1404195646)</f>
        <v>1404195646</v>
      </c>
      <c r="D2880">
        <v>-6091.56</v>
      </c>
    </row>
    <row r="2881" spans="1:4" hidden="1" x14ac:dyDescent="0.25">
      <c r="A2881" t="s">
        <v>645</v>
      </c>
      <c r="B2881" t="s">
        <v>116</v>
      </c>
      <c r="C2881" s="2">
        <f>HYPERLINK("https://sao.dolgi.msk.ru/account/1404195873/", 1404195873)</f>
        <v>1404195873</v>
      </c>
      <c r="D2881">
        <v>-8105.47</v>
      </c>
    </row>
    <row r="2882" spans="1:4" hidden="1" x14ac:dyDescent="0.25">
      <c r="A2882" t="s">
        <v>645</v>
      </c>
      <c r="B2882" t="s">
        <v>117</v>
      </c>
      <c r="C2882" s="2">
        <f>HYPERLINK("https://sao.dolgi.msk.ru/account/1404196331/", 1404196331)</f>
        <v>1404196331</v>
      </c>
      <c r="D2882">
        <v>-4656.58</v>
      </c>
    </row>
    <row r="2883" spans="1:4" x14ac:dyDescent="0.25">
      <c r="A2883" t="s">
        <v>645</v>
      </c>
      <c r="B2883" t="s">
        <v>118</v>
      </c>
      <c r="C2883" s="2">
        <f>HYPERLINK("https://sao.dolgi.msk.ru/account/1404195128/", 1404195128)</f>
        <v>1404195128</v>
      </c>
      <c r="D2883">
        <v>7223.1</v>
      </c>
    </row>
    <row r="2884" spans="1:4" hidden="1" x14ac:dyDescent="0.25">
      <c r="A2884" t="s">
        <v>645</v>
      </c>
      <c r="B2884" t="s">
        <v>119</v>
      </c>
      <c r="C2884" s="2">
        <f>HYPERLINK("https://sao.dolgi.msk.ru/account/1404195312/", 1404195312)</f>
        <v>1404195312</v>
      </c>
      <c r="D2884">
        <v>0</v>
      </c>
    </row>
    <row r="2885" spans="1:4" hidden="1" x14ac:dyDescent="0.25">
      <c r="A2885" t="s">
        <v>645</v>
      </c>
      <c r="B2885" t="s">
        <v>120</v>
      </c>
      <c r="C2885" s="2">
        <f>HYPERLINK("https://sao.dolgi.msk.ru/account/1404195662/", 1404195662)</f>
        <v>1404195662</v>
      </c>
      <c r="D2885">
        <v>-9316.0300000000007</v>
      </c>
    </row>
    <row r="2886" spans="1:4" x14ac:dyDescent="0.25">
      <c r="A2886" t="s">
        <v>645</v>
      </c>
      <c r="B2886" t="s">
        <v>121</v>
      </c>
      <c r="C2886" s="2">
        <f>HYPERLINK("https://sao.dolgi.msk.ru/account/1404195849/", 1404195849)</f>
        <v>1404195849</v>
      </c>
      <c r="D2886">
        <v>1396</v>
      </c>
    </row>
    <row r="2887" spans="1:4" hidden="1" x14ac:dyDescent="0.25">
      <c r="A2887" t="s">
        <v>645</v>
      </c>
      <c r="B2887" t="s">
        <v>122</v>
      </c>
      <c r="C2887" s="2">
        <f>HYPERLINK("https://sao.dolgi.msk.ru/account/1404195611/", 1404195611)</f>
        <v>1404195611</v>
      </c>
      <c r="D2887">
        <v>0</v>
      </c>
    </row>
    <row r="2888" spans="1:4" hidden="1" x14ac:dyDescent="0.25">
      <c r="A2888" t="s">
        <v>645</v>
      </c>
      <c r="B2888" t="s">
        <v>123</v>
      </c>
      <c r="C2888" s="2">
        <f>HYPERLINK("https://sao.dolgi.msk.ru/account/1404195259/", 1404195259)</f>
        <v>1404195259</v>
      </c>
      <c r="D2888">
        <v>-4880.3</v>
      </c>
    </row>
    <row r="2889" spans="1:4" hidden="1" x14ac:dyDescent="0.25">
      <c r="A2889" t="s">
        <v>645</v>
      </c>
      <c r="B2889" t="s">
        <v>124</v>
      </c>
      <c r="C2889" s="2">
        <f>HYPERLINK("https://sao.dolgi.msk.ru/account/1404196104/", 1404196104)</f>
        <v>1404196104</v>
      </c>
      <c r="D2889">
        <v>0</v>
      </c>
    </row>
    <row r="2890" spans="1:4" x14ac:dyDescent="0.25">
      <c r="A2890" t="s">
        <v>645</v>
      </c>
      <c r="B2890" t="s">
        <v>125</v>
      </c>
      <c r="C2890" s="2">
        <f>HYPERLINK("https://sao.dolgi.msk.ru/account/1404196139/", 1404196139)</f>
        <v>1404196139</v>
      </c>
      <c r="D2890">
        <v>14056.8</v>
      </c>
    </row>
    <row r="2891" spans="1:4" hidden="1" x14ac:dyDescent="0.25">
      <c r="A2891" t="s">
        <v>645</v>
      </c>
      <c r="B2891" t="s">
        <v>126</v>
      </c>
      <c r="C2891" s="2">
        <f>HYPERLINK("https://sao.dolgi.msk.ru/account/1404195283/", 1404195283)</f>
        <v>1404195283</v>
      </c>
      <c r="D2891">
        <v>-3782.27</v>
      </c>
    </row>
    <row r="2892" spans="1:4" hidden="1" x14ac:dyDescent="0.25">
      <c r="A2892" t="s">
        <v>645</v>
      </c>
      <c r="B2892" t="s">
        <v>127</v>
      </c>
      <c r="C2892" s="2">
        <f>HYPERLINK("https://sao.dolgi.msk.ru/account/1404196913/", 1404196913)</f>
        <v>1404196913</v>
      </c>
      <c r="D2892">
        <v>-8252.91</v>
      </c>
    </row>
    <row r="2893" spans="1:4" hidden="1" x14ac:dyDescent="0.25">
      <c r="A2893" t="s">
        <v>645</v>
      </c>
      <c r="B2893" t="s">
        <v>128</v>
      </c>
      <c r="C2893" s="2">
        <f>HYPERLINK("https://sao.dolgi.msk.ru/account/1404195654/", 1404195654)</f>
        <v>1404195654</v>
      </c>
      <c r="D2893">
        <v>0</v>
      </c>
    </row>
    <row r="2894" spans="1:4" hidden="1" x14ac:dyDescent="0.25">
      <c r="A2894" t="s">
        <v>645</v>
      </c>
      <c r="B2894" t="s">
        <v>129</v>
      </c>
      <c r="C2894" s="2">
        <f>HYPERLINK("https://sao.dolgi.msk.ru/account/1404195339/", 1404195339)</f>
        <v>1404195339</v>
      </c>
      <c r="D2894">
        <v>0</v>
      </c>
    </row>
    <row r="2895" spans="1:4" hidden="1" x14ac:dyDescent="0.25">
      <c r="A2895" t="s">
        <v>645</v>
      </c>
      <c r="B2895" t="s">
        <v>130</v>
      </c>
      <c r="C2895" s="2">
        <f>HYPERLINK("https://sao.dolgi.msk.ru/account/1404195347/", 1404195347)</f>
        <v>1404195347</v>
      </c>
      <c r="D2895">
        <v>-4029.31</v>
      </c>
    </row>
    <row r="2896" spans="1:4" x14ac:dyDescent="0.25">
      <c r="A2896" t="s">
        <v>645</v>
      </c>
      <c r="B2896" t="s">
        <v>131</v>
      </c>
      <c r="C2896" s="2">
        <f>HYPERLINK("https://sao.dolgi.msk.ru/account/1404195355/", 1404195355)</f>
        <v>1404195355</v>
      </c>
      <c r="D2896">
        <v>18393.29</v>
      </c>
    </row>
    <row r="2897" spans="1:4" hidden="1" x14ac:dyDescent="0.25">
      <c r="A2897" t="s">
        <v>645</v>
      </c>
      <c r="B2897" t="s">
        <v>132</v>
      </c>
      <c r="C2897" s="2">
        <f>HYPERLINK("https://sao.dolgi.msk.ru/account/1404195603/", 1404195603)</f>
        <v>1404195603</v>
      </c>
      <c r="D2897">
        <v>-8084.78</v>
      </c>
    </row>
    <row r="2898" spans="1:4" hidden="1" x14ac:dyDescent="0.25">
      <c r="A2898" t="s">
        <v>645</v>
      </c>
      <c r="B2898" t="s">
        <v>133</v>
      </c>
      <c r="C2898" s="2">
        <f>HYPERLINK("https://sao.dolgi.msk.ru/account/1404195187/", 1404195187)</f>
        <v>1404195187</v>
      </c>
      <c r="D2898">
        <v>-4168.6400000000003</v>
      </c>
    </row>
    <row r="2899" spans="1:4" hidden="1" x14ac:dyDescent="0.25">
      <c r="A2899" t="s">
        <v>645</v>
      </c>
      <c r="B2899" t="s">
        <v>134</v>
      </c>
      <c r="C2899" s="2">
        <f>HYPERLINK("https://sao.dolgi.msk.ru/account/1404196534/", 1404196534)</f>
        <v>1404196534</v>
      </c>
      <c r="D2899">
        <v>-3975.48</v>
      </c>
    </row>
    <row r="2900" spans="1:4" x14ac:dyDescent="0.25">
      <c r="A2900" t="s">
        <v>645</v>
      </c>
      <c r="B2900" t="s">
        <v>135</v>
      </c>
      <c r="C2900" s="2">
        <f>HYPERLINK("https://sao.dolgi.msk.ru/account/1404197107/", 1404197107)</f>
        <v>1404197107</v>
      </c>
      <c r="D2900">
        <v>154558.07999999999</v>
      </c>
    </row>
    <row r="2901" spans="1:4" hidden="1" x14ac:dyDescent="0.25">
      <c r="A2901" t="s">
        <v>645</v>
      </c>
      <c r="B2901" t="s">
        <v>136</v>
      </c>
      <c r="C2901" s="2">
        <f>HYPERLINK("https://sao.dolgi.msk.ru/account/1404195478/", 1404195478)</f>
        <v>1404195478</v>
      </c>
      <c r="D2901">
        <v>0</v>
      </c>
    </row>
    <row r="2902" spans="1:4" hidden="1" x14ac:dyDescent="0.25">
      <c r="A2902" t="s">
        <v>645</v>
      </c>
      <c r="B2902" t="s">
        <v>646</v>
      </c>
      <c r="C2902" s="2">
        <f>HYPERLINK("https://sao.dolgi.msk.ru/account/1404197115/", 1404197115)</f>
        <v>1404197115</v>
      </c>
      <c r="D2902">
        <v>-9352.58</v>
      </c>
    </row>
    <row r="2903" spans="1:4" hidden="1" x14ac:dyDescent="0.25">
      <c r="A2903" t="s">
        <v>645</v>
      </c>
      <c r="B2903" t="s">
        <v>138</v>
      </c>
      <c r="C2903" s="2">
        <f>HYPERLINK("https://sao.dolgi.msk.ru/account/1404196315/", 1404196315)</f>
        <v>1404196315</v>
      </c>
      <c r="D2903">
        <v>0</v>
      </c>
    </row>
    <row r="2904" spans="1:4" hidden="1" x14ac:dyDescent="0.25">
      <c r="A2904" t="s">
        <v>645</v>
      </c>
      <c r="B2904" t="s">
        <v>140</v>
      </c>
      <c r="C2904" s="2">
        <f>HYPERLINK("https://sao.dolgi.msk.ru/account/1404196091/", 1404196091)</f>
        <v>1404196091</v>
      </c>
      <c r="D2904">
        <v>0</v>
      </c>
    </row>
    <row r="2905" spans="1:4" hidden="1" x14ac:dyDescent="0.25">
      <c r="A2905" t="s">
        <v>645</v>
      </c>
      <c r="B2905" t="s">
        <v>141</v>
      </c>
      <c r="C2905" s="2">
        <f>HYPERLINK("https://sao.dolgi.msk.ru/account/1404196892/", 1404196892)</f>
        <v>1404196892</v>
      </c>
      <c r="D2905">
        <v>0</v>
      </c>
    </row>
    <row r="2906" spans="1:4" x14ac:dyDescent="0.25">
      <c r="A2906" t="s">
        <v>645</v>
      </c>
      <c r="B2906" t="s">
        <v>142</v>
      </c>
      <c r="C2906" s="2">
        <f>HYPERLINK("https://sao.dolgi.msk.ru/account/1404195136/", 1404195136)</f>
        <v>1404195136</v>
      </c>
      <c r="D2906">
        <v>12085.07</v>
      </c>
    </row>
    <row r="2907" spans="1:4" hidden="1" x14ac:dyDescent="0.25">
      <c r="A2907" t="s">
        <v>645</v>
      </c>
      <c r="B2907" t="s">
        <v>143</v>
      </c>
      <c r="C2907" s="2">
        <f>HYPERLINK("https://sao.dolgi.msk.ru/account/1404195558/", 1404195558)</f>
        <v>1404195558</v>
      </c>
      <c r="D2907">
        <v>-2642.22</v>
      </c>
    </row>
    <row r="2908" spans="1:4" hidden="1" x14ac:dyDescent="0.25">
      <c r="A2908" t="s">
        <v>645</v>
      </c>
      <c r="B2908" t="s">
        <v>143</v>
      </c>
      <c r="C2908" s="2">
        <f>HYPERLINK("https://sao.dolgi.msk.ru/account/1404196622/", 1404196622)</f>
        <v>1404196622</v>
      </c>
      <c r="D2908">
        <v>-5099.45</v>
      </c>
    </row>
    <row r="2909" spans="1:4" hidden="1" x14ac:dyDescent="0.25">
      <c r="A2909" t="s">
        <v>645</v>
      </c>
      <c r="B2909" t="s">
        <v>144</v>
      </c>
      <c r="C2909" s="2">
        <f>HYPERLINK("https://sao.dolgi.msk.ru/account/1404196286/", 1404196286)</f>
        <v>1404196286</v>
      </c>
      <c r="D2909">
        <v>-8445.93</v>
      </c>
    </row>
    <row r="2910" spans="1:4" hidden="1" x14ac:dyDescent="0.25">
      <c r="A2910" t="s">
        <v>645</v>
      </c>
      <c r="B2910" t="s">
        <v>145</v>
      </c>
      <c r="C2910" s="2">
        <f>HYPERLINK("https://sao.dolgi.msk.ru/account/1404195427/", 1404195427)</f>
        <v>1404195427</v>
      </c>
      <c r="D2910">
        <v>-3310.57</v>
      </c>
    </row>
    <row r="2911" spans="1:4" hidden="1" x14ac:dyDescent="0.25">
      <c r="A2911" t="s">
        <v>645</v>
      </c>
      <c r="B2911" t="s">
        <v>146</v>
      </c>
      <c r="C2911" s="2">
        <f>HYPERLINK("https://sao.dolgi.msk.ru/account/1404196796/", 1404196796)</f>
        <v>1404196796</v>
      </c>
      <c r="D2911">
        <v>-4290.2700000000004</v>
      </c>
    </row>
    <row r="2912" spans="1:4" hidden="1" x14ac:dyDescent="0.25">
      <c r="A2912" t="s">
        <v>645</v>
      </c>
      <c r="B2912" t="s">
        <v>147</v>
      </c>
      <c r="C2912" s="2">
        <f>HYPERLINK("https://sao.dolgi.msk.ru/account/1404195742/", 1404195742)</f>
        <v>1404195742</v>
      </c>
      <c r="D2912">
        <v>-4728.22</v>
      </c>
    </row>
    <row r="2913" spans="1:4" hidden="1" x14ac:dyDescent="0.25">
      <c r="A2913" t="s">
        <v>645</v>
      </c>
      <c r="B2913" t="s">
        <v>148</v>
      </c>
      <c r="C2913" s="2">
        <f>HYPERLINK("https://sao.dolgi.msk.ru/account/1404195435/", 1404195435)</f>
        <v>1404195435</v>
      </c>
      <c r="D2913">
        <v>0</v>
      </c>
    </row>
    <row r="2914" spans="1:4" hidden="1" x14ac:dyDescent="0.25">
      <c r="A2914" t="s">
        <v>645</v>
      </c>
      <c r="B2914" t="s">
        <v>149</v>
      </c>
      <c r="C2914" s="2">
        <f>HYPERLINK("https://sao.dolgi.msk.ru/account/1404196606/", 1404196606)</f>
        <v>1404196606</v>
      </c>
      <c r="D2914">
        <v>-3399.42</v>
      </c>
    </row>
    <row r="2915" spans="1:4" hidden="1" x14ac:dyDescent="0.25">
      <c r="A2915" t="s">
        <v>645</v>
      </c>
      <c r="B2915" t="s">
        <v>150</v>
      </c>
      <c r="C2915" s="2">
        <f>HYPERLINK("https://sao.dolgi.msk.ru/account/1404196809/", 1404196809)</f>
        <v>1404196809</v>
      </c>
      <c r="D2915">
        <v>0</v>
      </c>
    </row>
    <row r="2916" spans="1:4" hidden="1" x14ac:dyDescent="0.25">
      <c r="A2916" t="s">
        <v>645</v>
      </c>
      <c r="B2916" t="s">
        <v>151</v>
      </c>
      <c r="C2916" s="2">
        <f>HYPERLINK("https://sao.dolgi.msk.ru/account/1404195291/", 1404195291)</f>
        <v>1404195291</v>
      </c>
      <c r="D2916">
        <v>-8058.43</v>
      </c>
    </row>
    <row r="2917" spans="1:4" hidden="1" x14ac:dyDescent="0.25">
      <c r="A2917" t="s">
        <v>645</v>
      </c>
      <c r="B2917" t="s">
        <v>152</v>
      </c>
      <c r="C2917" s="2">
        <f>HYPERLINK("https://sao.dolgi.msk.ru/account/1404195785/", 1404195785)</f>
        <v>1404195785</v>
      </c>
      <c r="D2917">
        <v>-7617.4</v>
      </c>
    </row>
    <row r="2918" spans="1:4" hidden="1" x14ac:dyDescent="0.25">
      <c r="A2918" t="s">
        <v>645</v>
      </c>
      <c r="B2918" t="s">
        <v>153</v>
      </c>
      <c r="C2918" s="2">
        <f>HYPERLINK("https://sao.dolgi.msk.ru/account/1404196307/", 1404196307)</f>
        <v>1404196307</v>
      </c>
      <c r="D2918">
        <v>-8122.03</v>
      </c>
    </row>
    <row r="2919" spans="1:4" hidden="1" x14ac:dyDescent="0.25">
      <c r="A2919" t="s">
        <v>645</v>
      </c>
      <c r="B2919" t="s">
        <v>154</v>
      </c>
      <c r="C2919" s="2">
        <f>HYPERLINK("https://sao.dolgi.msk.ru/account/1404195697/", 1404195697)</f>
        <v>1404195697</v>
      </c>
      <c r="D2919">
        <v>0</v>
      </c>
    </row>
    <row r="2920" spans="1:4" x14ac:dyDescent="0.25">
      <c r="A2920" t="s">
        <v>645</v>
      </c>
      <c r="B2920" t="s">
        <v>155</v>
      </c>
      <c r="C2920" s="2">
        <f>HYPERLINK("https://sao.dolgi.msk.ru/account/1404195996/", 1404195996)</f>
        <v>1404195996</v>
      </c>
      <c r="D2920">
        <v>83298.350000000006</v>
      </c>
    </row>
    <row r="2921" spans="1:4" hidden="1" x14ac:dyDescent="0.25">
      <c r="A2921" t="s">
        <v>645</v>
      </c>
      <c r="B2921" t="s">
        <v>156</v>
      </c>
      <c r="C2921" s="2">
        <f>HYPERLINK("https://sao.dolgi.msk.ru/account/1404196999/", 1404196999)</f>
        <v>1404196999</v>
      </c>
      <c r="D2921">
        <v>-4533.34</v>
      </c>
    </row>
    <row r="2922" spans="1:4" hidden="1" x14ac:dyDescent="0.25">
      <c r="A2922" t="s">
        <v>645</v>
      </c>
      <c r="B2922" t="s">
        <v>157</v>
      </c>
      <c r="C2922" s="2">
        <f>HYPERLINK("https://sao.dolgi.msk.ru/account/1404196614/", 1404196614)</f>
        <v>1404196614</v>
      </c>
      <c r="D2922">
        <v>-6479.6</v>
      </c>
    </row>
    <row r="2923" spans="1:4" hidden="1" x14ac:dyDescent="0.25">
      <c r="A2923" t="s">
        <v>645</v>
      </c>
      <c r="B2923" t="s">
        <v>158</v>
      </c>
      <c r="C2923" s="2">
        <f>HYPERLINK("https://sao.dolgi.msk.ru/account/1404196016/", 1404196016)</f>
        <v>1404196016</v>
      </c>
      <c r="D2923">
        <v>0</v>
      </c>
    </row>
    <row r="2924" spans="1:4" hidden="1" x14ac:dyDescent="0.25">
      <c r="A2924" t="s">
        <v>645</v>
      </c>
      <c r="B2924" t="s">
        <v>159</v>
      </c>
      <c r="C2924" s="2">
        <f>HYPERLINK("https://sao.dolgi.msk.ru/account/1404195224/", 1404195224)</f>
        <v>1404195224</v>
      </c>
      <c r="D2924">
        <v>0</v>
      </c>
    </row>
    <row r="2925" spans="1:4" hidden="1" x14ac:dyDescent="0.25">
      <c r="A2925" t="s">
        <v>645</v>
      </c>
      <c r="B2925" t="s">
        <v>160</v>
      </c>
      <c r="C2925" s="2">
        <f>HYPERLINK("https://sao.dolgi.msk.ru/account/1404197123/", 1404197123)</f>
        <v>1404197123</v>
      </c>
      <c r="D2925">
        <v>-4961.6400000000003</v>
      </c>
    </row>
    <row r="2926" spans="1:4" hidden="1" x14ac:dyDescent="0.25">
      <c r="A2926" t="s">
        <v>645</v>
      </c>
      <c r="B2926" t="s">
        <v>161</v>
      </c>
      <c r="C2926" s="2">
        <f>HYPERLINK("https://sao.dolgi.msk.ru/account/1404195232/", 1404195232)</f>
        <v>1404195232</v>
      </c>
      <c r="D2926">
        <v>0</v>
      </c>
    </row>
    <row r="2927" spans="1:4" x14ac:dyDescent="0.25">
      <c r="A2927" t="s">
        <v>645</v>
      </c>
      <c r="B2927" t="s">
        <v>162</v>
      </c>
      <c r="C2927" s="2">
        <f>HYPERLINK("https://sao.dolgi.msk.ru/account/1404197131/", 1404197131)</f>
        <v>1404197131</v>
      </c>
      <c r="D2927">
        <v>76880.14</v>
      </c>
    </row>
    <row r="2928" spans="1:4" hidden="1" x14ac:dyDescent="0.25">
      <c r="A2928" t="s">
        <v>645</v>
      </c>
      <c r="B2928" t="s">
        <v>163</v>
      </c>
      <c r="C2928" s="2">
        <f>HYPERLINK("https://sao.dolgi.msk.ru/account/1404196075/", 1404196075)</f>
        <v>1404196075</v>
      </c>
      <c r="D2928">
        <v>-6785.65</v>
      </c>
    </row>
    <row r="2929" spans="1:4" x14ac:dyDescent="0.25">
      <c r="A2929" t="s">
        <v>645</v>
      </c>
      <c r="B2929" t="s">
        <v>164</v>
      </c>
      <c r="C2929" s="2">
        <f>HYPERLINK("https://sao.dolgi.msk.ru/account/1404195734/", 1404195734)</f>
        <v>1404195734</v>
      </c>
      <c r="D2929">
        <v>28415.31</v>
      </c>
    </row>
    <row r="2930" spans="1:4" hidden="1" x14ac:dyDescent="0.25">
      <c r="A2930" t="s">
        <v>645</v>
      </c>
      <c r="B2930" t="s">
        <v>165</v>
      </c>
      <c r="C2930" s="2">
        <f>HYPERLINK("https://sao.dolgi.msk.ru/account/1404196585/", 1404196585)</f>
        <v>1404196585</v>
      </c>
      <c r="D2930">
        <v>0</v>
      </c>
    </row>
    <row r="2931" spans="1:4" x14ac:dyDescent="0.25">
      <c r="A2931" t="s">
        <v>645</v>
      </c>
      <c r="B2931" t="s">
        <v>166</v>
      </c>
      <c r="C2931" s="2">
        <f>HYPERLINK("https://sao.dolgi.msk.ru/account/1404196593/", 1404196593)</f>
        <v>1404196593</v>
      </c>
      <c r="D2931">
        <v>29666.81</v>
      </c>
    </row>
    <row r="2932" spans="1:4" hidden="1" x14ac:dyDescent="0.25">
      <c r="A2932" t="s">
        <v>645</v>
      </c>
      <c r="B2932" t="s">
        <v>167</v>
      </c>
      <c r="C2932" s="2">
        <f>HYPERLINK("https://sao.dolgi.msk.ru/account/1404195072/", 1404195072)</f>
        <v>1404195072</v>
      </c>
      <c r="D2932">
        <v>0</v>
      </c>
    </row>
    <row r="2933" spans="1:4" x14ac:dyDescent="0.25">
      <c r="A2933" t="s">
        <v>645</v>
      </c>
      <c r="B2933" t="s">
        <v>168</v>
      </c>
      <c r="C2933" s="2">
        <f>HYPERLINK("https://sao.dolgi.msk.ru/account/1404196921/", 1404196921)</f>
        <v>1404196921</v>
      </c>
      <c r="D2933">
        <v>8210.08</v>
      </c>
    </row>
    <row r="2934" spans="1:4" hidden="1" x14ac:dyDescent="0.25">
      <c r="A2934" t="s">
        <v>645</v>
      </c>
      <c r="B2934" t="s">
        <v>169</v>
      </c>
      <c r="C2934" s="2">
        <f>HYPERLINK("https://sao.dolgi.msk.ru/account/1404195099/", 1404195099)</f>
        <v>1404195099</v>
      </c>
      <c r="D2934">
        <v>-3874.12</v>
      </c>
    </row>
    <row r="2935" spans="1:4" hidden="1" x14ac:dyDescent="0.25">
      <c r="A2935" t="s">
        <v>645</v>
      </c>
      <c r="B2935" t="s">
        <v>170</v>
      </c>
      <c r="C2935" s="2">
        <f>HYPERLINK("https://sao.dolgi.msk.ru/account/1404196008/", 1404196008)</f>
        <v>1404196008</v>
      </c>
      <c r="D2935">
        <v>-6126.55</v>
      </c>
    </row>
    <row r="2936" spans="1:4" hidden="1" x14ac:dyDescent="0.25">
      <c r="A2936" t="s">
        <v>645</v>
      </c>
      <c r="B2936" t="s">
        <v>171</v>
      </c>
      <c r="C2936" s="2">
        <f>HYPERLINK("https://sao.dolgi.msk.ru/account/1404195806/", 1404195806)</f>
        <v>1404195806</v>
      </c>
      <c r="D2936">
        <v>-2900.83</v>
      </c>
    </row>
    <row r="2937" spans="1:4" hidden="1" x14ac:dyDescent="0.25">
      <c r="A2937" t="s">
        <v>645</v>
      </c>
      <c r="B2937" t="s">
        <v>171</v>
      </c>
      <c r="C2937" s="2">
        <f>HYPERLINK("https://sao.dolgi.msk.ru/account/1404196841/", 1404196841)</f>
        <v>1404196841</v>
      </c>
      <c r="D2937">
        <v>-2031.87</v>
      </c>
    </row>
    <row r="2938" spans="1:4" x14ac:dyDescent="0.25">
      <c r="A2938" t="s">
        <v>645</v>
      </c>
      <c r="B2938" t="s">
        <v>172</v>
      </c>
      <c r="C2938" s="2">
        <f>HYPERLINK("https://sao.dolgi.msk.ru/account/1404197094/", 1404197094)</f>
        <v>1404197094</v>
      </c>
      <c r="D2938">
        <v>2832.08</v>
      </c>
    </row>
    <row r="2939" spans="1:4" hidden="1" x14ac:dyDescent="0.25">
      <c r="A2939" t="s">
        <v>645</v>
      </c>
      <c r="B2939" t="s">
        <v>173</v>
      </c>
      <c r="C2939" s="2">
        <f>HYPERLINK("https://sao.dolgi.msk.ru/account/1404195793/", 1404195793)</f>
        <v>1404195793</v>
      </c>
      <c r="D2939">
        <v>-4601.49</v>
      </c>
    </row>
    <row r="2940" spans="1:4" x14ac:dyDescent="0.25">
      <c r="A2940" t="s">
        <v>645</v>
      </c>
      <c r="B2940" t="s">
        <v>174</v>
      </c>
      <c r="C2940" s="2">
        <f>HYPERLINK("https://sao.dolgi.msk.ru/account/1404197158/", 1404197158)</f>
        <v>1404197158</v>
      </c>
      <c r="D2940">
        <v>16043.23</v>
      </c>
    </row>
    <row r="2941" spans="1:4" x14ac:dyDescent="0.25">
      <c r="A2941" t="s">
        <v>645</v>
      </c>
      <c r="B2941" t="s">
        <v>175</v>
      </c>
      <c r="C2941" s="2">
        <f>HYPERLINK("https://sao.dolgi.msk.ru/account/1404196876/", 1404196876)</f>
        <v>1404196876</v>
      </c>
      <c r="D2941">
        <v>673.03</v>
      </c>
    </row>
    <row r="2942" spans="1:4" hidden="1" x14ac:dyDescent="0.25">
      <c r="A2942" t="s">
        <v>647</v>
      </c>
      <c r="B2942" t="s">
        <v>5</v>
      </c>
      <c r="C2942" s="2">
        <f>HYPERLINK("https://sao.dolgi.msk.ru/account/1404198185/", 1404198185)</f>
        <v>1404198185</v>
      </c>
      <c r="D2942">
        <v>0</v>
      </c>
    </row>
    <row r="2943" spans="1:4" x14ac:dyDescent="0.25">
      <c r="A2943" t="s">
        <v>647</v>
      </c>
      <c r="B2943" t="s">
        <v>6</v>
      </c>
      <c r="C2943" s="2">
        <f>HYPERLINK("https://sao.dolgi.msk.ru/account/1404197377/", 1404197377)</f>
        <v>1404197377</v>
      </c>
      <c r="D2943">
        <v>18386.63</v>
      </c>
    </row>
    <row r="2944" spans="1:4" hidden="1" x14ac:dyDescent="0.25">
      <c r="A2944" t="s">
        <v>647</v>
      </c>
      <c r="B2944" t="s">
        <v>7</v>
      </c>
      <c r="C2944" s="2">
        <f>HYPERLINK("https://sao.dolgi.msk.ru/account/1404197705/", 1404197705)</f>
        <v>1404197705</v>
      </c>
      <c r="D2944">
        <v>0</v>
      </c>
    </row>
    <row r="2945" spans="1:4" hidden="1" x14ac:dyDescent="0.25">
      <c r="A2945" t="s">
        <v>647</v>
      </c>
      <c r="B2945" t="s">
        <v>8</v>
      </c>
      <c r="C2945" s="2">
        <f>HYPERLINK("https://sao.dolgi.msk.ru/account/1404197406/", 1404197406)</f>
        <v>1404197406</v>
      </c>
      <c r="D2945">
        <v>-3952.39</v>
      </c>
    </row>
    <row r="2946" spans="1:4" hidden="1" x14ac:dyDescent="0.25">
      <c r="A2946" t="s">
        <v>647</v>
      </c>
      <c r="B2946" t="s">
        <v>9</v>
      </c>
      <c r="C2946" s="2">
        <f>HYPERLINK("https://sao.dolgi.msk.ru/account/1404198476/", 1404198476)</f>
        <v>1404198476</v>
      </c>
      <c r="D2946">
        <v>-5284.63</v>
      </c>
    </row>
    <row r="2947" spans="1:4" hidden="1" x14ac:dyDescent="0.25">
      <c r="A2947" t="s">
        <v>647</v>
      </c>
      <c r="B2947" t="s">
        <v>10</v>
      </c>
      <c r="C2947" s="2">
        <f>HYPERLINK("https://sao.dolgi.msk.ru/account/1404197414/", 1404197414)</f>
        <v>1404197414</v>
      </c>
      <c r="D2947">
        <v>-4543.74</v>
      </c>
    </row>
    <row r="2948" spans="1:4" hidden="1" x14ac:dyDescent="0.25">
      <c r="A2948" t="s">
        <v>647</v>
      </c>
      <c r="B2948" t="s">
        <v>11</v>
      </c>
      <c r="C2948" s="2">
        <f>HYPERLINK("https://sao.dolgi.msk.ru/account/1404199313/", 1404199313)</f>
        <v>1404199313</v>
      </c>
      <c r="D2948">
        <v>0</v>
      </c>
    </row>
    <row r="2949" spans="1:4" hidden="1" x14ac:dyDescent="0.25">
      <c r="A2949" t="s">
        <v>647</v>
      </c>
      <c r="B2949" t="s">
        <v>12</v>
      </c>
      <c r="C2949" s="2">
        <f>HYPERLINK("https://sao.dolgi.msk.ru/account/1404197238/", 1404197238)</f>
        <v>1404197238</v>
      </c>
      <c r="D2949">
        <v>-5152.1099999999997</v>
      </c>
    </row>
    <row r="2950" spans="1:4" hidden="1" x14ac:dyDescent="0.25">
      <c r="A2950" t="s">
        <v>647</v>
      </c>
      <c r="B2950" t="s">
        <v>13</v>
      </c>
      <c r="C2950" s="2">
        <f>HYPERLINK("https://sao.dolgi.msk.ru/account/1404198695/", 1404198695)</f>
        <v>1404198695</v>
      </c>
      <c r="D2950">
        <v>-6348.73</v>
      </c>
    </row>
    <row r="2951" spans="1:4" x14ac:dyDescent="0.25">
      <c r="A2951" t="s">
        <v>647</v>
      </c>
      <c r="B2951" t="s">
        <v>14</v>
      </c>
      <c r="C2951" s="2">
        <f>HYPERLINK("https://sao.dolgi.msk.ru/account/1404198089/", 1404198089)</f>
        <v>1404198089</v>
      </c>
      <c r="D2951">
        <v>24991.119999999999</v>
      </c>
    </row>
    <row r="2952" spans="1:4" hidden="1" x14ac:dyDescent="0.25">
      <c r="A2952" t="s">
        <v>647</v>
      </c>
      <c r="B2952" t="s">
        <v>15</v>
      </c>
      <c r="C2952" s="2">
        <f>HYPERLINK("https://sao.dolgi.msk.ru/account/1404197449/", 1404197449)</f>
        <v>1404197449</v>
      </c>
      <c r="D2952">
        <v>-4586.58</v>
      </c>
    </row>
    <row r="2953" spans="1:4" hidden="1" x14ac:dyDescent="0.25">
      <c r="A2953" t="s">
        <v>647</v>
      </c>
      <c r="B2953" t="s">
        <v>16</v>
      </c>
      <c r="C2953" s="2">
        <f>HYPERLINK("https://sao.dolgi.msk.ru/account/1404197246/", 1404197246)</f>
        <v>1404197246</v>
      </c>
      <c r="D2953">
        <v>0</v>
      </c>
    </row>
    <row r="2954" spans="1:4" hidden="1" x14ac:dyDescent="0.25">
      <c r="A2954" t="s">
        <v>647</v>
      </c>
      <c r="B2954" t="s">
        <v>17</v>
      </c>
      <c r="C2954" s="2">
        <f>HYPERLINK("https://sao.dolgi.msk.ru/account/1404197254/", 1404197254)</f>
        <v>1404197254</v>
      </c>
      <c r="D2954">
        <v>0</v>
      </c>
    </row>
    <row r="2955" spans="1:4" hidden="1" x14ac:dyDescent="0.25">
      <c r="A2955" t="s">
        <v>647</v>
      </c>
      <c r="B2955" t="s">
        <v>18</v>
      </c>
      <c r="C2955" s="2">
        <f>HYPERLINK("https://sao.dolgi.msk.ru/account/1404198214/", 1404198214)</f>
        <v>1404198214</v>
      </c>
      <c r="D2955">
        <v>-3801.13</v>
      </c>
    </row>
    <row r="2956" spans="1:4" hidden="1" x14ac:dyDescent="0.25">
      <c r="A2956" t="s">
        <v>647</v>
      </c>
      <c r="B2956" t="s">
        <v>19</v>
      </c>
      <c r="C2956" s="2">
        <f>HYPERLINK("https://sao.dolgi.msk.ru/account/1404198273/", 1404198273)</f>
        <v>1404198273</v>
      </c>
      <c r="D2956">
        <v>-3407.7</v>
      </c>
    </row>
    <row r="2957" spans="1:4" hidden="1" x14ac:dyDescent="0.25">
      <c r="A2957" t="s">
        <v>647</v>
      </c>
      <c r="B2957" t="s">
        <v>20</v>
      </c>
      <c r="C2957" s="2">
        <f>HYPERLINK("https://sao.dolgi.msk.ru/account/1404198767/", 1404198767)</f>
        <v>1404198767</v>
      </c>
      <c r="D2957">
        <v>-7687.5</v>
      </c>
    </row>
    <row r="2958" spans="1:4" x14ac:dyDescent="0.25">
      <c r="A2958" t="s">
        <v>647</v>
      </c>
      <c r="B2958" t="s">
        <v>21</v>
      </c>
      <c r="C2958" s="2">
        <f>HYPERLINK("https://sao.dolgi.msk.ru/account/1404199145/", 1404199145)</f>
        <v>1404199145</v>
      </c>
      <c r="D2958">
        <v>5655.23</v>
      </c>
    </row>
    <row r="2959" spans="1:4" x14ac:dyDescent="0.25">
      <c r="A2959" t="s">
        <v>647</v>
      </c>
      <c r="B2959" t="s">
        <v>22</v>
      </c>
      <c r="C2959" s="2">
        <f>HYPERLINK("https://sao.dolgi.msk.ru/account/1404198468/", 1404198468)</f>
        <v>1404198468</v>
      </c>
      <c r="D2959">
        <v>9856.9</v>
      </c>
    </row>
    <row r="2960" spans="1:4" hidden="1" x14ac:dyDescent="0.25">
      <c r="A2960" t="s">
        <v>647</v>
      </c>
      <c r="B2960" t="s">
        <v>23</v>
      </c>
      <c r="C2960" s="2">
        <f>HYPERLINK("https://sao.dolgi.msk.ru/account/1404198919/", 1404198919)</f>
        <v>1404198919</v>
      </c>
      <c r="D2960">
        <v>-2279.9899999999998</v>
      </c>
    </row>
    <row r="2961" spans="1:4" hidden="1" x14ac:dyDescent="0.25">
      <c r="A2961" t="s">
        <v>647</v>
      </c>
      <c r="B2961" t="s">
        <v>24</v>
      </c>
      <c r="C2961" s="2">
        <f>HYPERLINK("https://sao.dolgi.msk.ru/account/1404199188/", 1404199188)</f>
        <v>1404199188</v>
      </c>
      <c r="D2961">
        <v>-8109.59</v>
      </c>
    </row>
    <row r="2962" spans="1:4" hidden="1" x14ac:dyDescent="0.25">
      <c r="A2962" t="s">
        <v>647</v>
      </c>
      <c r="B2962" t="s">
        <v>25</v>
      </c>
      <c r="C2962" s="2">
        <f>HYPERLINK("https://sao.dolgi.msk.ru/account/1404199209/", 1404199209)</f>
        <v>1404199209</v>
      </c>
      <c r="D2962">
        <v>-10020.76</v>
      </c>
    </row>
    <row r="2963" spans="1:4" hidden="1" x14ac:dyDescent="0.25">
      <c r="A2963" t="s">
        <v>647</v>
      </c>
      <c r="B2963" t="s">
        <v>26</v>
      </c>
      <c r="C2963" s="2">
        <f>HYPERLINK("https://sao.dolgi.msk.ru/account/1404198345/", 1404198345)</f>
        <v>1404198345</v>
      </c>
      <c r="D2963">
        <v>-4050.66</v>
      </c>
    </row>
    <row r="2964" spans="1:4" x14ac:dyDescent="0.25">
      <c r="A2964" t="s">
        <v>647</v>
      </c>
      <c r="B2964" t="s">
        <v>27</v>
      </c>
      <c r="C2964" s="2">
        <f>HYPERLINK("https://sao.dolgi.msk.ru/account/1404198601/", 1404198601)</f>
        <v>1404198601</v>
      </c>
      <c r="D2964">
        <v>2297.11</v>
      </c>
    </row>
    <row r="2965" spans="1:4" hidden="1" x14ac:dyDescent="0.25">
      <c r="A2965" t="s">
        <v>647</v>
      </c>
      <c r="B2965" t="s">
        <v>28</v>
      </c>
      <c r="C2965" s="2">
        <f>HYPERLINK("https://sao.dolgi.msk.ru/account/1404199276/", 1404199276)</f>
        <v>1404199276</v>
      </c>
      <c r="D2965">
        <v>-4448.66</v>
      </c>
    </row>
    <row r="2966" spans="1:4" hidden="1" x14ac:dyDescent="0.25">
      <c r="A2966" t="s">
        <v>647</v>
      </c>
      <c r="B2966" t="s">
        <v>29</v>
      </c>
      <c r="C2966" s="2">
        <f>HYPERLINK("https://sao.dolgi.msk.ru/account/1404198126/", 1404198126)</f>
        <v>1404198126</v>
      </c>
      <c r="D2966">
        <v>-6532.67</v>
      </c>
    </row>
    <row r="2967" spans="1:4" hidden="1" x14ac:dyDescent="0.25">
      <c r="A2967" t="s">
        <v>647</v>
      </c>
      <c r="B2967" t="s">
        <v>30</v>
      </c>
      <c r="C2967" s="2">
        <f>HYPERLINK("https://sao.dolgi.msk.ru/account/1404198847/", 1404198847)</f>
        <v>1404198847</v>
      </c>
      <c r="D2967">
        <v>0</v>
      </c>
    </row>
    <row r="2968" spans="1:4" hidden="1" x14ac:dyDescent="0.25">
      <c r="A2968" t="s">
        <v>647</v>
      </c>
      <c r="B2968" t="s">
        <v>31</v>
      </c>
      <c r="C2968" s="2">
        <f>HYPERLINK("https://sao.dolgi.msk.ru/account/1404198513/", 1404198513)</f>
        <v>1404198513</v>
      </c>
      <c r="D2968">
        <v>-4889.62</v>
      </c>
    </row>
    <row r="2969" spans="1:4" hidden="1" x14ac:dyDescent="0.25">
      <c r="A2969" t="s">
        <v>647</v>
      </c>
      <c r="B2969" t="s">
        <v>32</v>
      </c>
      <c r="C2969" s="2">
        <f>HYPERLINK("https://sao.dolgi.msk.ru/account/1404199225/", 1404199225)</f>
        <v>1404199225</v>
      </c>
      <c r="D2969">
        <v>0</v>
      </c>
    </row>
    <row r="2970" spans="1:4" x14ac:dyDescent="0.25">
      <c r="A2970" t="s">
        <v>647</v>
      </c>
      <c r="B2970" t="s">
        <v>33</v>
      </c>
      <c r="C2970" s="2">
        <f>HYPERLINK("https://sao.dolgi.msk.ru/account/1404198206/", 1404198206)</f>
        <v>1404198206</v>
      </c>
      <c r="D2970">
        <v>45774.79</v>
      </c>
    </row>
    <row r="2971" spans="1:4" x14ac:dyDescent="0.25">
      <c r="A2971" t="s">
        <v>647</v>
      </c>
      <c r="B2971" t="s">
        <v>34</v>
      </c>
      <c r="C2971" s="2">
        <f>HYPERLINK("https://sao.dolgi.msk.ru/account/1404197967/", 1404197967)</f>
        <v>1404197967</v>
      </c>
      <c r="D2971">
        <v>2056.0100000000002</v>
      </c>
    </row>
    <row r="2972" spans="1:4" x14ac:dyDescent="0.25">
      <c r="A2972" t="s">
        <v>647</v>
      </c>
      <c r="B2972" t="s">
        <v>35</v>
      </c>
      <c r="C2972" s="2">
        <f>HYPERLINK("https://sao.dolgi.msk.ru/account/1404197422/", 1404197422)</f>
        <v>1404197422</v>
      </c>
      <c r="D2972">
        <v>43566.84</v>
      </c>
    </row>
    <row r="2973" spans="1:4" hidden="1" x14ac:dyDescent="0.25">
      <c r="A2973" t="s">
        <v>647</v>
      </c>
      <c r="B2973" t="s">
        <v>36</v>
      </c>
      <c r="C2973" s="2">
        <f>HYPERLINK("https://sao.dolgi.msk.ru/account/1404198353/", 1404198353)</f>
        <v>1404198353</v>
      </c>
      <c r="D2973">
        <v>-8342.32</v>
      </c>
    </row>
    <row r="2974" spans="1:4" x14ac:dyDescent="0.25">
      <c r="A2974" t="s">
        <v>647</v>
      </c>
      <c r="B2974" t="s">
        <v>37</v>
      </c>
      <c r="C2974" s="2">
        <f>HYPERLINK("https://sao.dolgi.msk.ru/account/1404198652/", 1404198652)</f>
        <v>1404198652</v>
      </c>
      <c r="D2974">
        <v>23008.34</v>
      </c>
    </row>
    <row r="2975" spans="1:4" hidden="1" x14ac:dyDescent="0.25">
      <c r="A2975" t="s">
        <v>647</v>
      </c>
      <c r="B2975" t="s">
        <v>38</v>
      </c>
      <c r="C2975" s="2">
        <f>HYPERLINK("https://sao.dolgi.msk.ru/account/1404198855/", 1404198855)</f>
        <v>1404198855</v>
      </c>
      <c r="D2975">
        <v>0</v>
      </c>
    </row>
    <row r="2976" spans="1:4" hidden="1" x14ac:dyDescent="0.25">
      <c r="A2976" t="s">
        <v>647</v>
      </c>
      <c r="B2976" t="s">
        <v>39</v>
      </c>
      <c r="C2976" s="2">
        <f>HYPERLINK("https://sao.dolgi.msk.ru/account/1404197932/", 1404197932)</f>
        <v>1404197932</v>
      </c>
      <c r="D2976">
        <v>-2727.4</v>
      </c>
    </row>
    <row r="2977" spans="1:4" x14ac:dyDescent="0.25">
      <c r="A2977" t="s">
        <v>647</v>
      </c>
      <c r="B2977" t="s">
        <v>40</v>
      </c>
      <c r="C2977" s="2">
        <f>HYPERLINK("https://sao.dolgi.msk.ru/account/1404197801/", 1404197801)</f>
        <v>1404197801</v>
      </c>
      <c r="D2977">
        <v>18803.84</v>
      </c>
    </row>
    <row r="2978" spans="1:4" hidden="1" x14ac:dyDescent="0.25">
      <c r="A2978" t="s">
        <v>647</v>
      </c>
      <c r="B2978" t="s">
        <v>41</v>
      </c>
      <c r="C2978" s="2">
        <f>HYPERLINK("https://sao.dolgi.msk.ru/account/1404197887/", 1404197887)</f>
        <v>1404197887</v>
      </c>
      <c r="D2978">
        <v>0</v>
      </c>
    </row>
    <row r="2979" spans="1:4" hidden="1" x14ac:dyDescent="0.25">
      <c r="A2979" t="s">
        <v>647</v>
      </c>
      <c r="B2979" t="s">
        <v>42</v>
      </c>
      <c r="C2979" s="2">
        <f>HYPERLINK("https://sao.dolgi.msk.ru/account/1404197473/", 1404197473)</f>
        <v>1404197473</v>
      </c>
      <c r="D2979">
        <v>-5344.59</v>
      </c>
    </row>
    <row r="2980" spans="1:4" hidden="1" x14ac:dyDescent="0.25">
      <c r="A2980" t="s">
        <v>647</v>
      </c>
      <c r="B2980" t="s">
        <v>43</v>
      </c>
      <c r="C2980" s="2">
        <f>HYPERLINK("https://sao.dolgi.msk.ru/account/1404197799/", 1404197799)</f>
        <v>1404197799</v>
      </c>
      <c r="D2980">
        <v>0</v>
      </c>
    </row>
    <row r="2981" spans="1:4" hidden="1" x14ac:dyDescent="0.25">
      <c r="A2981" t="s">
        <v>647</v>
      </c>
      <c r="B2981" t="s">
        <v>44</v>
      </c>
      <c r="C2981" s="2">
        <f>HYPERLINK("https://sao.dolgi.msk.ru/account/1404197625/", 1404197625)</f>
        <v>1404197625</v>
      </c>
      <c r="D2981">
        <v>0</v>
      </c>
    </row>
    <row r="2982" spans="1:4" hidden="1" x14ac:dyDescent="0.25">
      <c r="A2982" t="s">
        <v>647</v>
      </c>
      <c r="B2982" t="s">
        <v>45</v>
      </c>
      <c r="C2982" s="2">
        <f>HYPERLINK("https://sao.dolgi.msk.ru/account/1404197924/", 1404197924)</f>
        <v>1404197924</v>
      </c>
      <c r="D2982">
        <v>-11495.41</v>
      </c>
    </row>
    <row r="2983" spans="1:4" hidden="1" x14ac:dyDescent="0.25">
      <c r="A2983" t="s">
        <v>647</v>
      </c>
      <c r="B2983" t="s">
        <v>46</v>
      </c>
      <c r="C2983" s="2">
        <f>HYPERLINK("https://sao.dolgi.msk.ru/account/1404197633/", 1404197633)</f>
        <v>1404197633</v>
      </c>
      <c r="D2983">
        <v>-8000</v>
      </c>
    </row>
    <row r="2984" spans="1:4" hidden="1" x14ac:dyDescent="0.25">
      <c r="A2984" t="s">
        <v>647</v>
      </c>
      <c r="B2984" t="s">
        <v>47</v>
      </c>
      <c r="C2984" s="2">
        <f>HYPERLINK("https://sao.dolgi.msk.ru/account/1404199065/", 1404199065)</f>
        <v>1404199065</v>
      </c>
      <c r="D2984">
        <v>-8256.9599999999991</v>
      </c>
    </row>
    <row r="2985" spans="1:4" hidden="1" x14ac:dyDescent="0.25">
      <c r="A2985" t="s">
        <v>647</v>
      </c>
      <c r="B2985" t="s">
        <v>48</v>
      </c>
      <c r="C2985" s="2">
        <f>HYPERLINK("https://sao.dolgi.msk.ru/account/1404198978/", 1404198978)</f>
        <v>1404198978</v>
      </c>
      <c r="D2985">
        <v>0</v>
      </c>
    </row>
    <row r="2986" spans="1:4" hidden="1" x14ac:dyDescent="0.25">
      <c r="A2986" t="s">
        <v>647</v>
      </c>
      <c r="B2986" t="s">
        <v>49</v>
      </c>
      <c r="C2986" s="2">
        <f>HYPERLINK("https://sao.dolgi.msk.ru/account/1404199217/", 1404199217)</f>
        <v>1404199217</v>
      </c>
      <c r="D2986">
        <v>0</v>
      </c>
    </row>
    <row r="2987" spans="1:4" hidden="1" x14ac:dyDescent="0.25">
      <c r="A2987" t="s">
        <v>647</v>
      </c>
      <c r="B2987" t="s">
        <v>50</v>
      </c>
      <c r="C2987" s="2">
        <f>HYPERLINK("https://sao.dolgi.msk.ru/account/1404198281/", 1404198281)</f>
        <v>1404198281</v>
      </c>
      <c r="D2987">
        <v>-5381.35</v>
      </c>
    </row>
    <row r="2988" spans="1:4" hidden="1" x14ac:dyDescent="0.25">
      <c r="A2988" t="s">
        <v>647</v>
      </c>
      <c r="B2988" t="s">
        <v>51</v>
      </c>
      <c r="C2988" s="2">
        <f>HYPERLINK("https://sao.dolgi.msk.ru/account/1404198791/", 1404198791)</f>
        <v>1404198791</v>
      </c>
      <c r="D2988">
        <v>-5597.35</v>
      </c>
    </row>
    <row r="2989" spans="1:4" hidden="1" x14ac:dyDescent="0.25">
      <c r="A2989" t="s">
        <v>647</v>
      </c>
      <c r="B2989" t="s">
        <v>52</v>
      </c>
      <c r="C2989" s="2">
        <f>HYPERLINK("https://sao.dolgi.msk.ru/account/1404197211/", 1404197211)</f>
        <v>1404197211</v>
      </c>
      <c r="D2989">
        <v>0</v>
      </c>
    </row>
    <row r="2990" spans="1:4" hidden="1" x14ac:dyDescent="0.25">
      <c r="A2990" t="s">
        <v>647</v>
      </c>
      <c r="B2990" t="s">
        <v>53</v>
      </c>
      <c r="C2990" s="2">
        <f>HYPERLINK("https://sao.dolgi.msk.ru/account/1404198804/", 1404198804)</f>
        <v>1404198804</v>
      </c>
      <c r="D2990">
        <v>0</v>
      </c>
    </row>
    <row r="2991" spans="1:4" hidden="1" x14ac:dyDescent="0.25">
      <c r="A2991" t="s">
        <v>647</v>
      </c>
      <c r="B2991" t="s">
        <v>54</v>
      </c>
      <c r="C2991" s="2">
        <f>HYPERLINK("https://sao.dolgi.msk.ru/account/1404197588/", 1404197588)</f>
        <v>1404197588</v>
      </c>
      <c r="D2991">
        <v>0</v>
      </c>
    </row>
    <row r="2992" spans="1:4" hidden="1" x14ac:dyDescent="0.25">
      <c r="A2992" t="s">
        <v>647</v>
      </c>
      <c r="B2992" t="s">
        <v>55</v>
      </c>
      <c r="C2992" s="2">
        <f>HYPERLINK("https://sao.dolgi.msk.ru/account/1404199161/", 1404199161)</f>
        <v>1404199161</v>
      </c>
      <c r="D2992">
        <v>-2549.4299999999998</v>
      </c>
    </row>
    <row r="2993" spans="1:4" hidden="1" x14ac:dyDescent="0.25">
      <c r="A2993" t="s">
        <v>647</v>
      </c>
      <c r="B2993" t="s">
        <v>56</v>
      </c>
      <c r="C2993" s="2">
        <f>HYPERLINK("https://sao.dolgi.msk.ru/account/1404198839/", 1404198839)</f>
        <v>1404198839</v>
      </c>
      <c r="D2993">
        <v>-4134.47</v>
      </c>
    </row>
    <row r="2994" spans="1:4" hidden="1" x14ac:dyDescent="0.25">
      <c r="A2994" t="s">
        <v>647</v>
      </c>
      <c r="B2994" t="s">
        <v>57</v>
      </c>
      <c r="C2994" s="2">
        <f>HYPERLINK("https://sao.dolgi.msk.ru/account/1404198935/", 1404198935)</f>
        <v>1404198935</v>
      </c>
      <c r="D2994">
        <v>-302.31</v>
      </c>
    </row>
    <row r="2995" spans="1:4" x14ac:dyDescent="0.25">
      <c r="A2995" t="s">
        <v>647</v>
      </c>
      <c r="B2995" t="s">
        <v>58</v>
      </c>
      <c r="C2995" s="2">
        <f>HYPERLINK("https://sao.dolgi.msk.ru/account/1404198302/", 1404198302)</f>
        <v>1404198302</v>
      </c>
      <c r="D2995">
        <v>3507.14</v>
      </c>
    </row>
    <row r="2996" spans="1:4" x14ac:dyDescent="0.25">
      <c r="A2996" t="s">
        <v>647</v>
      </c>
      <c r="B2996" t="s">
        <v>59</v>
      </c>
      <c r="C2996" s="2">
        <f>HYPERLINK("https://sao.dolgi.msk.ru/account/1404198425/", 1404198425)</f>
        <v>1404198425</v>
      </c>
      <c r="D2996">
        <v>77433.17</v>
      </c>
    </row>
    <row r="2997" spans="1:4" x14ac:dyDescent="0.25">
      <c r="A2997" t="s">
        <v>647</v>
      </c>
      <c r="B2997" t="s">
        <v>59</v>
      </c>
      <c r="C2997" s="2">
        <f>HYPERLINK("https://sao.dolgi.msk.ru/account/1404199129/", 1404199129)</f>
        <v>1404199129</v>
      </c>
      <c r="D2997">
        <v>24724.68</v>
      </c>
    </row>
    <row r="2998" spans="1:4" hidden="1" x14ac:dyDescent="0.25">
      <c r="A2998" t="s">
        <v>647</v>
      </c>
      <c r="B2998" t="s">
        <v>60</v>
      </c>
      <c r="C2998" s="2">
        <f>HYPERLINK("https://sao.dolgi.msk.ru/account/1404197369/", 1404197369)</f>
        <v>1404197369</v>
      </c>
      <c r="D2998">
        <v>0</v>
      </c>
    </row>
    <row r="2999" spans="1:4" hidden="1" x14ac:dyDescent="0.25">
      <c r="A2999" t="s">
        <v>647</v>
      </c>
      <c r="B2999" t="s">
        <v>61</v>
      </c>
      <c r="C2999" s="2">
        <f>HYPERLINK("https://sao.dolgi.msk.ru/account/1404199006/", 1404199006)</f>
        <v>1404199006</v>
      </c>
      <c r="D2999">
        <v>0</v>
      </c>
    </row>
    <row r="3000" spans="1:4" hidden="1" x14ac:dyDescent="0.25">
      <c r="A3000" t="s">
        <v>647</v>
      </c>
      <c r="B3000" t="s">
        <v>62</v>
      </c>
      <c r="C3000" s="2">
        <f>HYPERLINK("https://sao.dolgi.msk.ru/account/1404198724/", 1404198724)</f>
        <v>1404198724</v>
      </c>
      <c r="D3000">
        <v>-3098.5</v>
      </c>
    </row>
    <row r="3001" spans="1:4" hidden="1" x14ac:dyDescent="0.25">
      <c r="A3001" t="s">
        <v>647</v>
      </c>
      <c r="B3001" t="s">
        <v>63</v>
      </c>
      <c r="C3001" s="2">
        <f>HYPERLINK("https://sao.dolgi.msk.ru/account/1404197975/", 1404197975)</f>
        <v>1404197975</v>
      </c>
      <c r="D3001">
        <v>-4656.2299999999996</v>
      </c>
    </row>
    <row r="3002" spans="1:4" hidden="1" x14ac:dyDescent="0.25">
      <c r="A3002" t="s">
        <v>647</v>
      </c>
      <c r="B3002" t="s">
        <v>64</v>
      </c>
      <c r="C3002" s="2">
        <f>HYPERLINK("https://sao.dolgi.msk.ru/account/1404199292/", 1404199292)</f>
        <v>1404199292</v>
      </c>
      <c r="D3002">
        <v>-2059.6</v>
      </c>
    </row>
    <row r="3003" spans="1:4" hidden="1" x14ac:dyDescent="0.25">
      <c r="A3003" t="s">
        <v>647</v>
      </c>
      <c r="B3003" t="s">
        <v>65</v>
      </c>
      <c r="C3003" s="2">
        <f>HYPERLINK("https://sao.dolgi.msk.ru/account/1404197502/", 1404197502)</f>
        <v>1404197502</v>
      </c>
      <c r="D3003">
        <v>-5106.1400000000003</v>
      </c>
    </row>
    <row r="3004" spans="1:4" x14ac:dyDescent="0.25">
      <c r="A3004" t="s">
        <v>647</v>
      </c>
      <c r="B3004" t="s">
        <v>66</v>
      </c>
      <c r="C3004" s="2">
        <f>HYPERLINK("https://sao.dolgi.msk.ru/account/1404198361/", 1404198361)</f>
        <v>1404198361</v>
      </c>
      <c r="D3004">
        <v>1195.6199999999999</v>
      </c>
    </row>
    <row r="3005" spans="1:4" hidden="1" x14ac:dyDescent="0.25">
      <c r="A3005" t="s">
        <v>647</v>
      </c>
      <c r="B3005" t="s">
        <v>67</v>
      </c>
      <c r="C3005" s="2">
        <f>HYPERLINK("https://sao.dolgi.msk.ru/account/1404197676/", 1404197676)</f>
        <v>1404197676</v>
      </c>
      <c r="D3005">
        <v>-4841.99</v>
      </c>
    </row>
    <row r="3006" spans="1:4" hidden="1" x14ac:dyDescent="0.25">
      <c r="A3006" t="s">
        <v>647</v>
      </c>
      <c r="B3006" t="s">
        <v>68</v>
      </c>
      <c r="C3006" s="2">
        <f>HYPERLINK("https://sao.dolgi.msk.ru/account/1404198812/", 1404198812)</f>
        <v>1404198812</v>
      </c>
      <c r="D3006">
        <v>0</v>
      </c>
    </row>
    <row r="3007" spans="1:4" hidden="1" x14ac:dyDescent="0.25">
      <c r="A3007" t="s">
        <v>647</v>
      </c>
      <c r="B3007" t="s">
        <v>69</v>
      </c>
      <c r="C3007" s="2">
        <f>HYPERLINK("https://sao.dolgi.msk.ru/account/1404198871/", 1404198871)</f>
        <v>1404198871</v>
      </c>
      <c r="D3007">
        <v>0</v>
      </c>
    </row>
    <row r="3008" spans="1:4" hidden="1" x14ac:dyDescent="0.25">
      <c r="A3008" t="s">
        <v>647</v>
      </c>
      <c r="B3008" t="s">
        <v>70</v>
      </c>
      <c r="C3008" s="2">
        <f>HYPERLINK("https://sao.dolgi.msk.ru/account/1404198951/", 1404198951)</f>
        <v>1404198951</v>
      </c>
      <c r="D3008">
        <v>-5523.22</v>
      </c>
    </row>
    <row r="3009" spans="1:4" hidden="1" x14ac:dyDescent="0.25">
      <c r="A3009" t="s">
        <v>647</v>
      </c>
      <c r="B3009" t="s">
        <v>71</v>
      </c>
      <c r="C3009" s="2">
        <f>HYPERLINK("https://sao.dolgi.msk.ru/account/1404197916/", 1404197916)</f>
        <v>1404197916</v>
      </c>
      <c r="D3009">
        <v>0</v>
      </c>
    </row>
    <row r="3010" spans="1:4" hidden="1" x14ac:dyDescent="0.25">
      <c r="A3010" t="s">
        <v>647</v>
      </c>
      <c r="B3010" t="s">
        <v>72</v>
      </c>
      <c r="C3010" s="2">
        <f>HYPERLINK("https://sao.dolgi.msk.ru/account/1404197334/", 1404197334)</f>
        <v>1404197334</v>
      </c>
      <c r="D3010">
        <v>-10095.15</v>
      </c>
    </row>
    <row r="3011" spans="1:4" hidden="1" x14ac:dyDescent="0.25">
      <c r="A3011" t="s">
        <v>647</v>
      </c>
      <c r="B3011" t="s">
        <v>73</v>
      </c>
      <c r="C3011" s="2">
        <f>HYPERLINK("https://sao.dolgi.msk.ru/account/1404198388/", 1404198388)</f>
        <v>1404198388</v>
      </c>
      <c r="D3011">
        <v>-5874.98</v>
      </c>
    </row>
    <row r="3012" spans="1:4" x14ac:dyDescent="0.25">
      <c r="A3012" t="s">
        <v>647</v>
      </c>
      <c r="B3012" t="s">
        <v>74</v>
      </c>
      <c r="C3012" s="2">
        <f>HYPERLINK("https://sao.dolgi.msk.ru/account/1404198628/", 1404198628)</f>
        <v>1404198628</v>
      </c>
      <c r="D3012">
        <v>12838.74</v>
      </c>
    </row>
    <row r="3013" spans="1:4" hidden="1" x14ac:dyDescent="0.25">
      <c r="A3013" t="s">
        <v>647</v>
      </c>
      <c r="B3013" t="s">
        <v>75</v>
      </c>
      <c r="C3013" s="2">
        <f>HYPERLINK("https://sao.dolgi.msk.ru/account/1404198337/", 1404198337)</f>
        <v>1404198337</v>
      </c>
      <c r="D3013">
        <v>0</v>
      </c>
    </row>
    <row r="3014" spans="1:4" hidden="1" x14ac:dyDescent="0.25">
      <c r="A3014" t="s">
        <v>647</v>
      </c>
      <c r="B3014" t="s">
        <v>76</v>
      </c>
      <c r="C3014" s="2">
        <f>HYPERLINK("https://sao.dolgi.msk.ru/account/1404198636/", 1404198636)</f>
        <v>1404198636</v>
      </c>
      <c r="D3014">
        <v>0</v>
      </c>
    </row>
    <row r="3015" spans="1:4" hidden="1" x14ac:dyDescent="0.25">
      <c r="A3015" t="s">
        <v>647</v>
      </c>
      <c r="B3015" t="s">
        <v>77</v>
      </c>
      <c r="C3015" s="2">
        <f>HYPERLINK("https://sao.dolgi.msk.ru/account/1404197609/", 1404197609)</f>
        <v>1404197609</v>
      </c>
      <c r="D3015">
        <v>-4939.3999999999996</v>
      </c>
    </row>
    <row r="3016" spans="1:4" hidden="1" x14ac:dyDescent="0.25">
      <c r="A3016" t="s">
        <v>647</v>
      </c>
      <c r="B3016" t="s">
        <v>78</v>
      </c>
      <c r="C3016" s="2">
        <f>HYPERLINK("https://sao.dolgi.msk.ru/account/1404199241/", 1404199241)</f>
        <v>1404199241</v>
      </c>
      <c r="D3016">
        <v>-5996.42</v>
      </c>
    </row>
    <row r="3017" spans="1:4" hidden="1" x14ac:dyDescent="0.25">
      <c r="A3017" t="s">
        <v>647</v>
      </c>
      <c r="B3017" t="s">
        <v>79</v>
      </c>
      <c r="C3017" s="2">
        <f>HYPERLINK("https://sao.dolgi.msk.ru/account/1404197385/", 1404197385)</f>
        <v>1404197385</v>
      </c>
      <c r="D3017">
        <v>-6783.28</v>
      </c>
    </row>
    <row r="3018" spans="1:4" x14ac:dyDescent="0.25">
      <c r="A3018" t="s">
        <v>647</v>
      </c>
      <c r="B3018" t="s">
        <v>80</v>
      </c>
      <c r="C3018" s="2">
        <f>HYPERLINK("https://sao.dolgi.msk.ru/account/1404198249/", 1404198249)</f>
        <v>1404198249</v>
      </c>
      <c r="D3018">
        <v>47511.37</v>
      </c>
    </row>
    <row r="3019" spans="1:4" hidden="1" x14ac:dyDescent="0.25">
      <c r="A3019" t="s">
        <v>647</v>
      </c>
      <c r="B3019" t="s">
        <v>81</v>
      </c>
      <c r="C3019" s="2">
        <f>HYPERLINK("https://sao.dolgi.msk.ru/account/1404198257/", 1404198257)</f>
        <v>1404198257</v>
      </c>
      <c r="D3019">
        <v>-4555.38</v>
      </c>
    </row>
    <row r="3020" spans="1:4" hidden="1" x14ac:dyDescent="0.25">
      <c r="A3020" t="s">
        <v>647</v>
      </c>
      <c r="B3020" t="s">
        <v>82</v>
      </c>
      <c r="C3020" s="2">
        <f>HYPERLINK("https://sao.dolgi.msk.ru/account/1404197748/", 1404197748)</f>
        <v>1404197748</v>
      </c>
      <c r="D3020">
        <v>-6161.47</v>
      </c>
    </row>
    <row r="3021" spans="1:4" hidden="1" x14ac:dyDescent="0.25">
      <c r="A3021" t="s">
        <v>647</v>
      </c>
      <c r="B3021" t="s">
        <v>83</v>
      </c>
      <c r="C3021" s="2">
        <f>HYPERLINK("https://sao.dolgi.msk.ru/account/1404198265/", 1404198265)</f>
        <v>1404198265</v>
      </c>
      <c r="D3021">
        <v>-6716.03</v>
      </c>
    </row>
    <row r="3022" spans="1:4" hidden="1" x14ac:dyDescent="0.25">
      <c r="A3022" t="s">
        <v>647</v>
      </c>
      <c r="B3022" t="s">
        <v>84</v>
      </c>
      <c r="C3022" s="2">
        <f>HYPERLINK("https://sao.dolgi.msk.ru/account/1404198484/", 1404198484)</f>
        <v>1404198484</v>
      </c>
      <c r="D3022">
        <v>-5241.18</v>
      </c>
    </row>
    <row r="3023" spans="1:4" hidden="1" x14ac:dyDescent="0.25">
      <c r="A3023" t="s">
        <v>647</v>
      </c>
      <c r="B3023" t="s">
        <v>85</v>
      </c>
      <c r="C3023" s="2">
        <f>HYPERLINK("https://sao.dolgi.msk.ru/account/1404199321/", 1404199321)</f>
        <v>1404199321</v>
      </c>
      <c r="D3023">
        <v>-3820.34</v>
      </c>
    </row>
    <row r="3024" spans="1:4" hidden="1" x14ac:dyDescent="0.25">
      <c r="A3024" t="s">
        <v>647</v>
      </c>
      <c r="B3024" t="s">
        <v>86</v>
      </c>
      <c r="C3024" s="2">
        <f>HYPERLINK("https://sao.dolgi.msk.ru/account/1404198572/", 1404198572)</f>
        <v>1404198572</v>
      </c>
      <c r="D3024">
        <v>-1274.79</v>
      </c>
    </row>
    <row r="3025" spans="1:4" x14ac:dyDescent="0.25">
      <c r="A3025" t="s">
        <v>647</v>
      </c>
      <c r="B3025" t="s">
        <v>87</v>
      </c>
      <c r="C3025" s="2">
        <f>HYPERLINK("https://sao.dolgi.msk.ru/account/1404198062/", 1404198062)</f>
        <v>1404198062</v>
      </c>
      <c r="D3025">
        <v>1056.95</v>
      </c>
    </row>
    <row r="3026" spans="1:4" hidden="1" x14ac:dyDescent="0.25">
      <c r="A3026" t="s">
        <v>647</v>
      </c>
      <c r="B3026" t="s">
        <v>88</v>
      </c>
      <c r="C3026" s="2">
        <f>HYPERLINK("https://sao.dolgi.msk.ru/account/1404198599/", 1404198599)</f>
        <v>1404198599</v>
      </c>
      <c r="D3026">
        <v>-5740.34</v>
      </c>
    </row>
    <row r="3027" spans="1:4" x14ac:dyDescent="0.25">
      <c r="A3027" t="s">
        <v>647</v>
      </c>
      <c r="B3027" t="s">
        <v>89</v>
      </c>
      <c r="C3027" s="2">
        <f>HYPERLINK("https://sao.dolgi.msk.ru/account/1404197326/", 1404197326)</f>
        <v>1404197326</v>
      </c>
      <c r="D3027">
        <v>12400.05</v>
      </c>
    </row>
    <row r="3028" spans="1:4" hidden="1" x14ac:dyDescent="0.25">
      <c r="A3028" t="s">
        <v>647</v>
      </c>
      <c r="B3028" t="s">
        <v>90</v>
      </c>
      <c r="C3028" s="2">
        <f>HYPERLINK("https://sao.dolgi.msk.ru/account/1404198097/", 1404198097)</f>
        <v>1404198097</v>
      </c>
      <c r="D3028">
        <v>-6007.82</v>
      </c>
    </row>
    <row r="3029" spans="1:4" hidden="1" x14ac:dyDescent="0.25">
      <c r="A3029" t="s">
        <v>647</v>
      </c>
      <c r="B3029" t="s">
        <v>91</v>
      </c>
      <c r="C3029" s="2">
        <f>HYPERLINK("https://sao.dolgi.msk.ru/account/1404197342/", 1404197342)</f>
        <v>1404197342</v>
      </c>
      <c r="D3029">
        <v>-4013.31</v>
      </c>
    </row>
    <row r="3030" spans="1:4" hidden="1" x14ac:dyDescent="0.25">
      <c r="A3030" t="s">
        <v>647</v>
      </c>
      <c r="B3030" t="s">
        <v>92</v>
      </c>
      <c r="C3030" s="2">
        <f>HYPERLINK("https://sao.dolgi.msk.ru/account/1404197262/", 1404197262)</f>
        <v>1404197262</v>
      </c>
      <c r="D3030">
        <v>-6198.07</v>
      </c>
    </row>
    <row r="3031" spans="1:4" hidden="1" x14ac:dyDescent="0.25">
      <c r="A3031" t="s">
        <v>647</v>
      </c>
      <c r="B3031" t="s">
        <v>93</v>
      </c>
      <c r="C3031" s="2">
        <f>HYPERLINK("https://sao.dolgi.msk.ru/account/1404199268/", 1404199268)</f>
        <v>1404199268</v>
      </c>
      <c r="D3031">
        <v>-6425.05</v>
      </c>
    </row>
    <row r="3032" spans="1:4" hidden="1" x14ac:dyDescent="0.25">
      <c r="A3032" t="s">
        <v>647</v>
      </c>
      <c r="B3032" t="s">
        <v>94</v>
      </c>
      <c r="C3032" s="2">
        <f>HYPERLINK("https://sao.dolgi.msk.ru/account/1404199153/", 1404199153)</f>
        <v>1404199153</v>
      </c>
      <c r="D3032">
        <v>0</v>
      </c>
    </row>
    <row r="3033" spans="1:4" hidden="1" x14ac:dyDescent="0.25">
      <c r="A3033" t="s">
        <v>647</v>
      </c>
      <c r="B3033" t="s">
        <v>95</v>
      </c>
      <c r="C3033" s="2">
        <f>HYPERLINK("https://sao.dolgi.msk.ru/account/1404198003/", 1404198003)</f>
        <v>1404198003</v>
      </c>
      <c r="D3033">
        <v>0</v>
      </c>
    </row>
    <row r="3034" spans="1:4" hidden="1" x14ac:dyDescent="0.25">
      <c r="A3034" t="s">
        <v>647</v>
      </c>
      <c r="B3034" t="s">
        <v>96</v>
      </c>
      <c r="C3034" s="2">
        <f>HYPERLINK("https://sao.dolgi.msk.ru/account/1404198708/", 1404198708)</f>
        <v>1404198708</v>
      </c>
      <c r="D3034">
        <v>0</v>
      </c>
    </row>
    <row r="3035" spans="1:4" hidden="1" x14ac:dyDescent="0.25">
      <c r="A3035" t="s">
        <v>647</v>
      </c>
      <c r="B3035" t="s">
        <v>97</v>
      </c>
      <c r="C3035" s="2">
        <f>HYPERLINK("https://sao.dolgi.msk.ru/account/1404198193/", 1404198193)</f>
        <v>1404198193</v>
      </c>
      <c r="D3035">
        <v>-4257.16</v>
      </c>
    </row>
    <row r="3036" spans="1:4" hidden="1" x14ac:dyDescent="0.25">
      <c r="A3036" t="s">
        <v>647</v>
      </c>
      <c r="B3036" t="s">
        <v>98</v>
      </c>
      <c r="C3036" s="2">
        <f>HYPERLINK("https://sao.dolgi.msk.ru/account/1404199233/", 1404199233)</f>
        <v>1404199233</v>
      </c>
      <c r="D3036">
        <v>-6590.2</v>
      </c>
    </row>
    <row r="3037" spans="1:4" hidden="1" x14ac:dyDescent="0.25">
      <c r="A3037" t="s">
        <v>647</v>
      </c>
      <c r="B3037" t="s">
        <v>99</v>
      </c>
      <c r="C3037" s="2">
        <f>HYPERLINK("https://sao.dolgi.msk.ru/account/1404198679/", 1404198679)</f>
        <v>1404198679</v>
      </c>
      <c r="D3037">
        <v>-8505.24</v>
      </c>
    </row>
    <row r="3038" spans="1:4" hidden="1" x14ac:dyDescent="0.25">
      <c r="A3038" t="s">
        <v>647</v>
      </c>
      <c r="B3038" t="s">
        <v>100</v>
      </c>
      <c r="C3038" s="2">
        <f>HYPERLINK("https://sao.dolgi.msk.ru/account/1404197617/", 1404197617)</f>
        <v>1404197617</v>
      </c>
      <c r="D3038">
        <v>-7841.51</v>
      </c>
    </row>
    <row r="3039" spans="1:4" hidden="1" x14ac:dyDescent="0.25">
      <c r="A3039" t="s">
        <v>647</v>
      </c>
      <c r="B3039" t="s">
        <v>101</v>
      </c>
      <c r="C3039" s="2">
        <f>HYPERLINK("https://sao.dolgi.msk.ru/account/1404197529/", 1404197529)</f>
        <v>1404197529</v>
      </c>
      <c r="D3039">
        <v>0</v>
      </c>
    </row>
    <row r="3040" spans="1:4" hidden="1" x14ac:dyDescent="0.25">
      <c r="A3040" t="s">
        <v>647</v>
      </c>
      <c r="B3040" t="s">
        <v>102</v>
      </c>
      <c r="C3040" s="2">
        <f>HYPERLINK("https://sao.dolgi.msk.ru/account/1404198986/", 1404198986)</f>
        <v>1404198986</v>
      </c>
      <c r="D3040">
        <v>-3551.15</v>
      </c>
    </row>
    <row r="3041" spans="1:4" hidden="1" x14ac:dyDescent="0.25">
      <c r="A3041" t="s">
        <v>647</v>
      </c>
      <c r="B3041" t="s">
        <v>103</v>
      </c>
      <c r="C3041" s="2">
        <f>HYPERLINK("https://sao.dolgi.msk.ru/account/1404198994/", 1404198994)</f>
        <v>1404198994</v>
      </c>
      <c r="D3041">
        <v>0</v>
      </c>
    </row>
    <row r="3042" spans="1:4" hidden="1" x14ac:dyDescent="0.25">
      <c r="A3042" t="s">
        <v>647</v>
      </c>
      <c r="B3042" t="s">
        <v>104</v>
      </c>
      <c r="C3042" s="2">
        <f>HYPERLINK("https://sao.dolgi.msk.ru/account/1404197684/", 1404197684)</f>
        <v>1404197684</v>
      </c>
      <c r="D3042">
        <v>0</v>
      </c>
    </row>
    <row r="3043" spans="1:4" hidden="1" x14ac:dyDescent="0.25">
      <c r="A3043" t="s">
        <v>647</v>
      </c>
      <c r="B3043" t="s">
        <v>105</v>
      </c>
      <c r="C3043" s="2">
        <f>HYPERLINK("https://sao.dolgi.msk.ru/account/1404199137/", 1404199137)</f>
        <v>1404199137</v>
      </c>
      <c r="D3043">
        <v>-5451.86</v>
      </c>
    </row>
    <row r="3044" spans="1:4" hidden="1" x14ac:dyDescent="0.25">
      <c r="A3044" t="s">
        <v>647</v>
      </c>
      <c r="B3044" t="s">
        <v>106</v>
      </c>
      <c r="C3044" s="2">
        <f>HYPERLINK("https://sao.dolgi.msk.ru/account/1404197537/", 1404197537)</f>
        <v>1404197537</v>
      </c>
      <c r="D3044">
        <v>0</v>
      </c>
    </row>
    <row r="3045" spans="1:4" hidden="1" x14ac:dyDescent="0.25">
      <c r="A3045" t="s">
        <v>647</v>
      </c>
      <c r="B3045" t="s">
        <v>107</v>
      </c>
      <c r="C3045" s="2">
        <f>HYPERLINK("https://sao.dolgi.msk.ru/account/1404197908/", 1404197908)</f>
        <v>1404197908</v>
      </c>
      <c r="D3045">
        <v>0</v>
      </c>
    </row>
    <row r="3046" spans="1:4" hidden="1" x14ac:dyDescent="0.25">
      <c r="A3046" t="s">
        <v>647</v>
      </c>
      <c r="B3046" t="s">
        <v>108</v>
      </c>
      <c r="C3046" s="2">
        <f>HYPERLINK("https://sao.dolgi.msk.ru/account/1404197297/", 1404197297)</f>
        <v>1404197297</v>
      </c>
      <c r="D3046">
        <v>0</v>
      </c>
    </row>
    <row r="3047" spans="1:4" hidden="1" x14ac:dyDescent="0.25">
      <c r="A3047" t="s">
        <v>647</v>
      </c>
      <c r="B3047" t="s">
        <v>109</v>
      </c>
      <c r="C3047" s="2">
        <f>HYPERLINK("https://sao.dolgi.msk.ru/account/1404197545/", 1404197545)</f>
        <v>1404197545</v>
      </c>
      <c r="D3047">
        <v>-4147.5</v>
      </c>
    </row>
    <row r="3048" spans="1:4" hidden="1" x14ac:dyDescent="0.25">
      <c r="A3048" t="s">
        <v>647</v>
      </c>
      <c r="B3048" t="s">
        <v>110</v>
      </c>
      <c r="C3048" s="2">
        <f>HYPERLINK("https://sao.dolgi.msk.ru/account/1404197553/", 1404197553)</f>
        <v>1404197553</v>
      </c>
      <c r="D3048">
        <v>-8149.15</v>
      </c>
    </row>
    <row r="3049" spans="1:4" hidden="1" x14ac:dyDescent="0.25">
      <c r="A3049" t="s">
        <v>647</v>
      </c>
      <c r="B3049" t="s">
        <v>111</v>
      </c>
      <c r="C3049" s="2">
        <f>HYPERLINK("https://sao.dolgi.msk.ru/account/1404198548/", 1404198548)</f>
        <v>1404198548</v>
      </c>
      <c r="D3049">
        <v>0</v>
      </c>
    </row>
    <row r="3050" spans="1:4" x14ac:dyDescent="0.25">
      <c r="A3050" t="s">
        <v>647</v>
      </c>
      <c r="B3050" t="s">
        <v>112</v>
      </c>
      <c r="C3050" s="2">
        <f>HYPERLINK("https://sao.dolgi.msk.ru/account/1404198556/", 1404198556)</f>
        <v>1404198556</v>
      </c>
      <c r="D3050">
        <v>15786.3</v>
      </c>
    </row>
    <row r="3051" spans="1:4" x14ac:dyDescent="0.25">
      <c r="A3051" t="s">
        <v>647</v>
      </c>
      <c r="B3051" t="s">
        <v>113</v>
      </c>
      <c r="C3051" s="2">
        <f>HYPERLINK("https://sao.dolgi.msk.ru/account/1404198775/", 1404198775)</f>
        <v>1404198775</v>
      </c>
      <c r="D3051">
        <v>16481.2</v>
      </c>
    </row>
    <row r="3052" spans="1:4" hidden="1" x14ac:dyDescent="0.25">
      <c r="A3052" t="s">
        <v>647</v>
      </c>
      <c r="B3052" t="s">
        <v>114</v>
      </c>
      <c r="C3052" s="2">
        <f>HYPERLINK("https://sao.dolgi.msk.ru/account/1404197561/", 1404197561)</f>
        <v>1404197561</v>
      </c>
      <c r="D3052">
        <v>-6884.3</v>
      </c>
    </row>
    <row r="3053" spans="1:4" hidden="1" x14ac:dyDescent="0.25">
      <c r="A3053" t="s">
        <v>647</v>
      </c>
      <c r="B3053" t="s">
        <v>115</v>
      </c>
      <c r="C3053" s="2">
        <f>HYPERLINK("https://sao.dolgi.msk.ru/account/1404197991/", 1404197991)</f>
        <v>1404197991</v>
      </c>
      <c r="D3053">
        <v>-4743.6499999999996</v>
      </c>
    </row>
    <row r="3054" spans="1:4" hidden="1" x14ac:dyDescent="0.25">
      <c r="A3054" t="s">
        <v>647</v>
      </c>
      <c r="B3054" t="s">
        <v>116</v>
      </c>
      <c r="C3054" s="2">
        <f>HYPERLINK("https://sao.dolgi.msk.ru/account/1404198329/", 1404198329)</f>
        <v>1404198329</v>
      </c>
      <c r="D3054">
        <v>-21482.82</v>
      </c>
    </row>
    <row r="3055" spans="1:4" hidden="1" x14ac:dyDescent="0.25">
      <c r="A3055" t="s">
        <v>647</v>
      </c>
      <c r="B3055" t="s">
        <v>117</v>
      </c>
      <c r="C3055" s="2">
        <f>HYPERLINK("https://sao.dolgi.msk.ru/account/1404198863/", 1404198863)</f>
        <v>1404198863</v>
      </c>
      <c r="D3055">
        <v>-2590.2800000000002</v>
      </c>
    </row>
    <row r="3056" spans="1:4" x14ac:dyDescent="0.25">
      <c r="A3056" t="s">
        <v>647</v>
      </c>
      <c r="B3056" t="s">
        <v>118</v>
      </c>
      <c r="C3056" s="2">
        <f>HYPERLINK("https://sao.dolgi.msk.ru/account/1404199081/", 1404199081)</f>
        <v>1404199081</v>
      </c>
      <c r="D3056">
        <v>2126.7399999999998</v>
      </c>
    </row>
    <row r="3057" spans="1:4" hidden="1" x14ac:dyDescent="0.25">
      <c r="A3057" t="s">
        <v>647</v>
      </c>
      <c r="B3057" t="s">
        <v>118</v>
      </c>
      <c r="C3057" s="2">
        <f>HYPERLINK("https://sao.dolgi.msk.ru/account/1404199196/", 1404199196)</f>
        <v>1404199196</v>
      </c>
      <c r="D3057">
        <v>-4499.66</v>
      </c>
    </row>
    <row r="3058" spans="1:4" hidden="1" x14ac:dyDescent="0.25">
      <c r="A3058" t="s">
        <v>647</v>
      </c>
      <c r="B3058" t="s">
        <v>119</v>
      </c>
      <c r="C3058" s="2">
        <f>HYPERLINK("https://sao.dolgi.msk.ru/account/1404198134/", 1404198134)</f>
        <v>1404198134</v>
      </c>
      <c r="D3058">
        <v>-7865.32</v>
      </c>
    </row>
    <row r="3059" spans="1:4" hidden="1" x14ac:dyDescent="0.25">
      <c r="A3059" t="s">
        <v>647</v>
      </c>
      <c r="B3059" t="s">
        <v>120</v>
      </c>
      <c r="C3059" s="2">
        <f>HYPERLINK("https://sao.dolgi.msk.ru/account/1404197318/", 1404197318)</f>
        <v>1404197318</v>
      </c>
      <c r="D3059">
        <v>0</v>
      </c>
    </row>
    <row r="3060" spans="1:4" hidden="1" x14ac:dyDescent="0.25">
      <c r="A3060" t="s">
        <v>647</v>
      </c>
      <c r="B3060" t="s">
        <v>121</v>
      </c>
      <c r="C3060" s="2">
        <f>HYPERLINK("https://sao.dolgi.msk.ru/account/1404199022/", 1404199022)</f>
        <v>1404199022</v>
      </c>
      <c r="D3060">
        <v>-4914.07</v>
      </c>
    </row>
    <row r="3061" spans="1:4" hidden="1" x14ac:dyDescent="0.25">
      <c r="A3061" t="s">
        <v>647</v>
      </c>
      <c r="B3061" t="s">
        <v>122</v>
      </c>
      <c r="C3061" s="2">
        <f>HYPERLINK("https://sao.dolgi.msk.ru/account/1404197756/", 1404197756)</f>
        <v>1404197756</v>
      </c>
      <c r="D3061">
        <v>-6080.52</v>
      </c>
    </row>
    <row r="3062" spans="1:4" hidden="1" x14ac:dyDescent="0.25">
      <c r="A3062" t="s">
        <v>647</v>
      </c>
      <c r="B3062" t="s">
        <v>123</v>
      </c>
      <c r="C3062" s="2">
        <f>HYPERLINK("https://sao.dolgi.msk.ru/account/1404197764/", 1404197764)</f>
        <v>1404197764</v>
      </c>
      <c r="D3062">
        <v>-2248.71</v>
      </c>
    </row>
    <row r="3063" spans="1:4" hidden="1" x14ac:dyDescent="0.25">
      <c r="A3063" t="s">
        <v>647</v>
      </c>
      <c r="B3063" t="s">
        <v>123</v>
      </c>
      <c r="C3063" s="2">
        <f>HYPERLINK("https://sao.dolgi.msk.ru/account/1404198433/", 1404198433)</f>
        <v>1404198433</v>
      </c>
      <c r="D3063">
        <v>0</v>
      </c>
    </row>
    <row r="3064" spans="1:4" hidden="1" x14ac:dyDescent="0.25">
      <c r="A3064" t="s">
        <v>647</v>
      </c>
      <c r="B3064" t="s">
        <v>123</v>
      </c>
      <c r="C3064" s="2">
        <f>HYPERLINK("https://sao.dolgi.msk.ru/account/1404199102/", 1404199102)</f>
        <v>1404199102</v>
      </c>
      <c r="D3064">
        <v>0</v>
      </c>
    </row>
    <row r="3065" spans="1:4" hidden="1" x14ac:dyDescent="0.25">
      <c r="A3065" t="s">
        <v>647</v>
      </c>
      <c r="B3065" t="s">
        <v>124</v>
      </c>
      <c r="C3065" s="2">
        <f>HYPERLINK("https://sao.dolgi.msk.ru/account/1404198492/", 1404198492)</f>
        <v>1404198492</v>
      </c>
      <c r="D3065">
        <v>-9539.32</v>
      </c>
    </row>
    <row r="3066" spans="1:4" hidden="1" x14ac:dyDescent="0.25">
      <c r="A3066" t="s">
        <v>647</v>
      </c>
      <c r="B3066" t="s">
        <v>125</v>
      </c>
      <c r="C3066" s="2">
        <f>HYPERLINK("https://sao.dolgi.msk.ru/account/1404199057/", 1404199057)</f>
        <v>1404199057</v>
      </c>
      <c r="D3066">
        <v>-6129.41</v>
      </c>
    </row>
    <row r="3067" spans="1:4" hidden="1" x14ac:dyDescent="0.25">
      <c r="A3067" t="s">
        <v>647</v>
      </c>
      <c r="B3067" t="s">
        <v>126</v>
      </c>
      <c r="C3067" s="2">
        <f>HYPERLINK("https://sao.dolgi.msk.ru/account/1404197481/", 1404197481)</f>
        <v>1404197481</v>
      </c>
      <c r="D3067">
        <v>-326.31</v>
      </c>
    </row>
    <row r="3068" spans="1:4" x14ac:dyDescent="0.25">
      <c r="A3068" t="s">
        <v>647</v>
      </c>
      <c r="B3068" t="s">
        <v>127</v>
      </c>
      <c r="C3068" s="2">
        <f>HYPERLINK("https://sao.dolgi.msk.ru/account/1404198759/", 1404198759)</f>
        <v>1404198759</v>
      </c>
      <c r="D3068">
        <v>2289.4899999999998</v>
      </c>
    </row>
    <row r="3069" spans="1:4" hidden="1" x14ac:dyDescent="0.25">
      <c r="A3069" t="s">
        <v>647</v>
      </c>
      <c r="B3069" t="s">
        <v>128</v>
      </c>
      <c r="C3069" s="2">
        <f>HYPERLINK("https://sao.dolgi.msk.ru/account/1404199073/", 1404199073)</f>
        <v>1404199073</v>
      </c>
      <c r="D3069">
        <v>-9168.2199999999993</v>
      </c>
    </row>
    <row r="3070" spans="1:4" hidden="1" x14ac:dyDescent="0.25">
      <c r="A3070" t="s">
        <v>647</v>
      </c>
      <c r="B3070" t="s">
        <v>129</v>
      </c>
      <c r="C3070" s="2">
        <f>HYPERLINK("https://sao.dolgi.msk.ru/account/1404198783/", 1404198783)</f>
        <v>1404198783</v>
      </c>
      <c r="D3070">
        <v>-4505.63</v>
      </c>
    </row>
    <row r="3071" spans="1:4" x14ac:dyDescent="0.25">
      <c r="A3071" t="s">
        <v>647</v>
      </c>
      <c r="B3071" t="s">
        <v>130</v>
      </c>
      <c r="C3071" s="2">
        <f>HYPERLINK("https://sao.dolgi.msk.ru/account/1404198046/", 1404198046)</f>
        <v>1404198046</v>
      </c>
      <c r="D3071">
        <v>4120.7</v>
      </c>
    </row>
    <row r="3072" spans="1:4" hidden="1" x14ac:dyDescent="0.25">
      <c r="A3072" t="s">
        <v>647</v>
      </c>
      <c r="B3072" t="s">
        <v>131</v>
      </c>
      <c r="C3072" s="2">
        <f>HYPERLINK("https://sao.dolgi.msk.ru/account/1404197828/", 1404197828)</f>
        <v>1404197828</v>
      </c>
      <c r="D3072">
        <v>0</v>
      </c>
    </row>
    <row r="3073" spans="1:4" x14ac:dyDescent="0.25">
      <c r="A3073" t="s">
        <v>647</v>
      </c>
      <c r="B3073" t="s">
        <v>132</v>
      </c>
      <c r="C3073" s="2">
        <f>HYPERLINK("https://sao.dolgi.msk.ru/account/1404197836/", 1404197836)</f>
        <v>1404197836</v>
      </c>
      <c r="D3073">
        <v>20705.189999999999</v>
      </c>
    </row>
    <row r="3074" spans="1:4" hidden="1" x14ac:dyDescent="0.25">
      <c r="A3074" t="s">
        <v>647</v>
      </c>
      <c r="B3074" t="s">
        <v>133</v>
      </c>
      <c r="C3074" s="2">
        <f>HYPERLINK("https://sao.dolgi.msk.ru/account/1404198564/", 1404198564)</f>
        <v>1404198564</v>
      </c>
      <c r="D3074">
        <v>-4414.7299999999996</v>
      </c>
    </row>
    <row r="3075" spans="1:4" hidden="1" x14ac:dyDescent="0.25">
      <c r="A3075" t="s">
        <v>647</v>
      </c>
      <c r="B3075" t="s">
        <v>134</v>
      </c>
      <c r="C3075" s="2">
        <f>HYPERLINK("https://sao.dolgi.msk.ru/account/1404197596/", 1404197596)</f>
        <v>1404197596</v>
      </c>
      <c r="D3075">
        <v>0</v>
      </c>
    </row>
    <row r="3076" spans="1:4" hidden="1" x14ac:dyDescent="0.25">
      <c r="A3076" t="s">
        <v>647</v>
      </c>
      <c r="B3076" t="s">
        <v>135</v>
      </c>
      <c r="C3076" s="2">
        <f>HYPERLINK("https://sao.dolgi.msk.ru/account/1404197289/", 1404197289)</f>
        <v>1404197289</v>
      </c>
      <c r="D3076">
        <v>-8341.89</v>
      </c>
    </row>
    <row r="3077" spans="1:4" hidden="1" x14ac:dyDescent="0.25">
      <c r="A3077" t="s">
        <v>647</v>
      </c>
      <c r="B3077" t="s">
        <v>136</v>
      </c>
      <c r="C3077" s="2">
        <f>HYPERLINK("https://sao.dolgi.msk.ru/account/1404198521/", 1404198521)</f>
        <v>1404198521</v>
      </c>
      <c r="D3077">
        <v>-5372.8</v>
      </c>
    </row>
    <row r="3078" spans="1:4" hidden="1" x14ac:dyDescent="0.25">
      <c r="A3078" t="s">
        <v>647</v>
      </c>
      <c r="B3078" t="s">
        <v>137</v>
      </c>
      <c r="C3078" s="2">
        <f>HYPERLINK("https://sao.dolgi.msk.ru/account/1404198011/", 1404198011)</f>
        <v>1404198011</v>
      </c>
      <c r="D3078">
        <v>0</v>
      </c>
    </row>
    <row r="3079" spans="1:4" hidden="1" x14ac:dyDescent="0.25">
      <c r="A3079" t="s">
        <v>647</v>
      </c>
      <c r="B3079" t="s">
        <v>138</v>
      </c>
      <c r="C3079" s="2">
        <f>HYPERLINK("https://sao.dolgi.msk.ru/account/1404198038/", 1404198038)</f>
        <v>1404198038</v>
      </c>
      <c r="D3079">
        <v>-5030.25</v>
      </c>
    </row>
    <row r="3080" spans="1:4" hidden="1" x14ac:dyDescent="0.25">
      <c r="A3080" t="s">
        <v>647</v>
      </c>
      <c r="B3080" t="s">
        <v>139</v>
      </c>
      <c r="C3080" s="2">
        <f>HYPERLINK("https://sao.dolgi.msk.ru/account/1404198644/", 1404198644)</f>
        <v>1404198644</v>
      </c>
      <c r="D3080">
        <v>-8583.1299999999992</v>
      </c>
    </row>
    <row r="3081" spans="1:4" hidden="1" x14ac:dyDescent="0.25">
      <c r="A3081" t="s">
        <v>647</v>
      </c>
      <c r="B3081" t="s">
        <v>140</v>
      </c>
      <c r="C3081" s="2">
        <f>HYPERLINK("https://sao.dolgi.msk.ru/account/1404198898/", 1404198898)</f>
        <v>1404198898</v>
      </c>
      <c r="D3081">
        <v>-8855.17</v>
      </c>
    </row>
    <row r="3082" spans="1:4" hidden="1" x14ac:dyDescent="0.25">
      <c r="A3082" t="s">
        <v>647</v>
      </c>
      <c r="B3082" t="s">
        <v>141</v>
      </c>
      <c r="C3082" s="2">
        <f>HYPERLINK("https://sao.dolgi.msk.ru/account/1404197692/", 1404197692)</f>
        <v>1404197692</v>
      </c>
      <c r="D3082">
        <v>-5099.57</v>
      </c>
    </row>
    <row r="3083" spans="1:4" hidden="1" x14ac:dyDescent="0.25">
      <c r="A3083" t="s">
        <v>647</v>
      </c>
      <c r="B3083" t="s">
        <v>142</v>
      </c>
      <c r="C3083" s="2">
        <f>HYPERLINK("https://sao.dolgi.msk.ru/account/1404198222/", 1404198222)</f>
        <v>1404198222</v>
      </c>
      <c r="D3083">
        <v>-3656.96</v>
      </c>
    </row>
    <row r="3084" spans="1:4" hidden="1" x14ac:dyDescent="0.25">
      <c r="A3084" t="s">
        <v>647</v>
      </c>
      <c r="B3084" t="s">
        <v>143</v>
      </c>
      <c r="C3084" s="2">
        <f>HYPERLINK("https://sao.dolgi.msk.ru/account/1404198118/", 1404198118)</f>
        <v>1404198118</v>
      </c>
      <c r="D3084">
        <v>0</v>
      </c>
    </row>
    <row r="3085" spans="1:4" hidden="1" x14ac:dyDescent="0.25">
      <c r="A3085" t="s">
        <v>647</v>
      </c>
      <c r="B3085" t="s">
        <v>144</v>
      </c>
      <c r="C3085" s="2">
        <f>HYPERLINK("https://sao.dolgi.msk.ru/account/1404198687/", 1404198687)</f>
        <v>1404198687</v>
      </c>
      <c r="D3085">
        <v>0</v>
      </c>
    </row>
    <row r="3086" spans="1:4" hidden="1" x14ac:dyDescent="0.25">
      <c r="A3086" t="s">
        <v>647</v>
      </c>
      <c r="B3086" t="s">
        <v>145</v>
      </c>
      <c r="C3086" s="2">
        <f>HYPERLINK("https://sao.dolgi.msk.ru/account/1404197772/", 1404197772)</f>
        <v>1404197772</v>
      </c>
      <c r="D3086">
        <v>-4207.8</v>
      </c>
    </row>
    <row r="3087" spans="1:4" hidden="1" x14ac:dyDescent="0.25">
      <c r="A3087" t="s">
        <v>647</v>
      </c>
      <c r="B3087" t="s">
        <v>146</v>
      </c>
      <c r="C3087" s="2">
        <f>HYPERLINK("https://sao.dolgi.msk.ru/account/1404198505/", 1404198505)</f>
        <v>1404198505</v>
      </c>
      <c r="D3087">
        <v>0</v>
      </c>
    </row>
    <row r="3088" spans="1:4" hidden="1" x14ac:dyDescent="0.25">
      <c r="A3088" t="s">
        <v>647</v>
      </c>
      <c r="B3088" t="s">
        <v>147</v>
      </c>
      <c r="C3088" s="2">
        <f>HYPERLINK("https://sao.dolgi.msk.ru/account/1404197959/", 1404197959)</f>
        <v>1404197959</v>
      </c>
      <c r="D3088">
        <v>-5626.43</v>
      </c>
    </row>
    <row r="3089" spans="1:4" hidden="1" x14ac:dyDescent="0.25">
      <c r="A3089" t="s">
        <v>647</v>
      </c>
      <c r="B3089" t="s">
        <v>148</v>
      </c>
      <c r="C3089" s="2">
        <f>HYPERLINK("https://sao.dolgi.msk.ru/account/1404197457/", 1404197457)</f>
        <v>1404197457</v>
      </c>
      <c r="D3089">
        <v>-10596.52</v>
      </c>
    </row>
    <row r="3090" spans="1:4" hidden="1" x14ac:dyDescent="0.25">
      <c r="A3090" t="s">
        <v>647</v>
      </c>
      <c r="B3090" t="s">
        <v>149</v>
      </c>
      <c r="C3090" s="2">
        <f>HYPERLINK("https://sao.dolgi.msk.ru/account/1404197852/", 1404197852)</f>
        <v>1404197852</v>
      </c>
      <c r="D3090">
        <v>0</v>
      </c>
    </row>
    <row r="3091" spans="1:4" hidden="1" x14ac:dyDescent="0.25">
      <c r="A3091" t="s">
        <v>647</v>
      </c>
      <c r="B3091" t="s">
        <v>150</v>
      </c>
      <c r="C3091" s="2">
        <f>HYPERLINK("https://sao.dolgi.msk.ru/account/1404198396/", 1404198396)</f>
        <v>1404198396</v>
      </c>
      <c r="D3091">
        <v>-5665.83</v>
      </c>
    </row>
    <row r="3092" spans="1:4" x14ac:dyDescent="0.25">
      <c r="A3092" t="s">
        <v>647</v>
      </c>
      <c r="B3092" t="s">
        <v>151</v>
      </c>
      <c r="C3092" s="2">
        <f>HYPERLINK("https://sao.dolgi.msk.ru/account/1404199284/", 1404199284)</f>
        <v>1404199284</v>
      </c>
      <c r="D3092">
        <v>7467.66</v>
      </c>
    </row>
    <row r="3093" spans="1:4" hidden="1" x14ac:dyDescent="0.25">
      <c r="A3093" t="s">
        <v>647</v>
      </c>
      <c r="B3093" t="s">
        <v>152</v>
      </c>
      <c r="C3093" s="2">
        <f>HYPERLINK("https://sao.dolgi.msk.ru/account/1404197895/", 1404197895)</f>
        <v>1404197895</v>
      </c>
      <c r="D3093">
        <v>-5490.26</v>
      </c>
    </row>
    <row r="3094" spans="1:4" hidden="1" x14ac:dyDescent="0.25">
      <c r="A3094" t="s">
        <v>647</v>
      </c>
      <c r="B3094" t="s">
        <v>153</v>
      </c>
      <c r="C3094" s="2">
        <f>HYPERLINK("https://sao.dolgi.msk.ru/account/1404197668/", 1404197668)</f>
        <v>1404197668</v>
      </c>
      <c r="D3094">
        <v>-2007.77</v>
      </c>
    </row>
    <row r="3095" spans="1:4" hidden="1" x14ac:dyDescent="0.25">
      <c r="A3095" t="s">
        <v>647</v>
      </c>
      <c r="B3095" t="s">
        <v>154</v>
      </c>
      <c r="C3095" s="2">
        <f>HYPERLINK("https://sao.dolgi.msk.ru/account/1404198943/", 1404198943)</f>
        <v>1404198943</v>
      </c>
      <c r="D3095">
        <v>-4295.67</v>
      </c>
    </row>
    <row r="3096" spans="1:4" hidden="1" x14ac:dyDescent="0.25">
      <c r="A3096" t="s">
        <v>647</v>
      </c>
      <c r="B3096" t="s">
        <v>155</v>
      </c>
      <c r="C3096" s="2">
        <f>HYPERLINK("https://sao.dolgi.msk.ru/account/1404198177/", 1404198177)</f>
        <v>1404198177</v>
      </c>
      <c r="D3096">
        <v>0</v>
      </c>
    </row>
    <row r="3097" spans="1:4" hidden="1" x14ac:dyDescent="0.25">
      <c r="A3097" t="s">
        <v>647</v>
      </c>
      <c r="B3097" t="s">
        <v>156</v>
      </c>
      <c r="C3097" s="2">
        <f>HYPERLINK("https://sao.dolgi.msk.ru/account/1404198054/", 1404198054)</f>
        <v>1404198054</v>
      </c>
      <c r="D3097">
        <v>-1298.47</v>
      </c>
    </row>
    <row r="3098" spans="1:4" hidden="1" x14ac:dyDescent="0.25">
      <c r="A3098" t="s">
        <v>647</v>
      </c>
      <c r="B3098" t="s">
        <v>157</v>
      </c>
      <c r="C3098" s="2">
        <f>HYPERLINK("https://sao.dolgi.msk.ru/account/1404198409/", 1404198409)</f>
        <v>1404198409</v>
      </c>
      <c r="D3098">
        <v>0</v>
      </c>
    </row>
    <row r="3099" spans="1:4" hidden="1" x14ac:dyDescent="0.25">
      <c r="A3099" t="s">
        <v>647</v>
      </c>
      <c r="B3099" t="s">
        <v>158</v>
      </c>
      <c r="C3099" s="2">
        <f>HYPERLINK("https://sao.dolgi.msk.ru/account/1404198417/", 1404198417)</f>
        <v>1404198417</v>
      </c>
      <c r="D3099">
        <v>0</v>
      </c>
    </row>
    <row r="3100" spans="1:4" hidden="1" x14ac:dyDescent="0.25">
      <c r="A3100" t="s">
        <v>647</v>
      </c>
      <c r="B3100" t="s">
        <v>159</v>
      </c>
      <c r="C3100" s="2">
        <f>HYPERLINK("https://sao.dolgi.msk.ru/account/1404199014/", 1404199014)</f>
        <v>1404199014</v>
      </c>
      <c r="D3100">
        <v>-5221.04</v>
      </c>
    </row>
    <row r="3101" spans="1:4" hidden="1" x14ac:dyDescent="0.25">
      <c r="A3101" t="s">
        <v>647</v>
      </c>
      <c r="B3101" t="s">
        <v>160</v>
      </c>
      <c r="C3101" s="2">
        <f>HYPERLINK("https://sao.dolgi.msk.ru/account/1404198716/", 1404198716)</f>
        <v>1404198716</v>
      </c>
      <c r="D3101">
        <v>-5851.83</v>
      </c>
    </row>
    <row r="3102" spans="1:4" hidden="1" x14ac:dyDescent="0.25">
      <c r="A3102" t="s">
        <v>647</v>
      </c>
      <c r="B3102" t="s">
        <v>161</v>
      </c>
      <c r="C3102" s="2">
        <f>HYPERLINK("https://sao.dolgi.msk.ru/account/1404198441/", 1404198441)</f>
        <v>1404198441</v>
      </c>
      <c r="D3102">
        <v>0</v>
      </c>
    </row>
    <row r="3103" spans="1:4" hidden="1" x14ac:dyDescent="0.25">
      <c r="A3103" t="s">
        <v>647</v>
      </c>
      <c r="B3103" t="s">
        <v>162</v>
      </c>
      <c r="C3103" s="2">
        <f>HYPERLINK("https://sao.dolgi.msk.ru/account/1404197713/", 1404197713)</f>
        <v>1404197713</v>
      </c>
      <c r="D3103">
        <v>0</v>
      </c>
    </row>
    <row r="3104" spans="1:4" hidden="1" x14ac:dyDescent="0.25">
      <c r="A3104" t="s">
        <v>647</v>
      </c>
      <c r="B3104" t="s">
        <v>163</v>
      </c>
      <c r="C3104" s="2">
        <f>HYPERLINK("https://sao.dolgi.msk.ru/account/1404197721/", 1404197721)</f>
        <v>1404197721</v>
      </c>
      <c r="D3104">
        <v>-7662.26</v>
      </c>
    </row>
    <row r="3105" spans="1:4" hidden="1" x14ac:dyDescent="0.25">
      <c r="A3105" t="s">
        <v>647</v>
      </c>
      <c r="B3105" t="s">
        <v>164</v>
      </c>
      <c r="C3105" s="2">
        <f>HYPERLINK("https://sao.dolgi.msk.ru/account/1404198927/", 1404198927)</f>
        <v>1404198927</v>
      </c>
      <c r="D3105">
        <v>-5105.51</v>
      </c>
    </row>
    <row r="3106" spans="1:4" hidden="1" x14ac:dyDescent="0.25">
      <c r="A3106" t="s">
        <v>647</v>
      </c>
      <c r="B3106" t="s">
        <v>165</v>
      </c>
      <c r="C3106" s="2">
        <f>HYPERLINK("https://sao.dolgi.msk.ru/account/1404198169/", 1404198169)</f>
        <v>1404198169</v>
      </c>
      <c r="D3106">
        <v>-5359.09</v>
      </c>
    </row>
    <row r="3107" spans="1:4" x14ac:dyDescent="0.25">
      <c r="A3107" t="s">
        <v>647</v>
      </c>
      <c r="B3107" t="s">
        <v>166</v>
      </c>
      <c r="C3107" s="2">
        <f>HYPERLINK("https://sao.dolgi.msk.ru/account/1404198142/", 1404198142)</f>
        <v>1404198142</v>
      </c>
      <c r="D3107">
        <v>6157.61</v>
      </c>
    </row>
    <row r="3108" spans="1:4" hidden="1" x14ac:dyDescent="0.25">
      <c r="A3108" t="s">
        <v>647</v>
      </c>
      <c r="B3108" t="s">
        <v>167</v>
      </c>
      <c r="C3108" s="2">
        <f>HYPERLINK("https://sao.dolgi.msk.ru/account/1404197879/", 1404197879)</f>
        <v>1404197879</v>
      </c>
      <c r="D3108">
        <v>-6219.9</v>
      </c>
    </row>
    <row r="3109" spans="1:4" hidden="1" x14ac:dyDescent="0.25">
      <c r="A3109" t="s">
        <v>647</v>
      </c>
      <c r="B3109" t="s">
        <v>168</v>
      </c>
      <c r="C3109" s="2">
        <f>HYPERLINK("https://sao.dolgi.msk.ru/account/1404197641/", 1404197641)</f>
        <v>1404197641</v>
      </c>
      <c r="D3109">
        <v>0</v>
      </c>
    </row>
    <row r="3110" spans="1:4" hidden="1" x14ac:dyDescent="0.25">
      <c r="A3110" t="s">
        <v>647</v>
      </c>
      <c r="B3110" t="s">
        <v>169</v>
      </c>
      <c r="C3110" s="2">
        <f>HYPERLINK("https://sao.dolgi.msk.ru/account/1404197844/", 1404197844)</f>
        <v>1404197844</v>
      </c>
      <c r="D3110">
        <v>-4239.3599999999997</v>
      </c>
    </row>
    <row r="3111" spans="1:4" hidden="1" x14ac:dyDescent="0.25">
      <c r="A3111" t="s">
        <v>647</v>
      </c>
      <c r="B3111" t="s">
        <v>170</v>
      </c>
      <c r="C3111" s="2">
        <f>HYPERLINK("https://sao.dolgi.msk.ru/account/1404197465/", 1404197465)</f>
        <v>1404197465</v>
      </c>
      <c r="D3111">
        <v>-4755.2</v>
      </c>
    </row>
    <row r="3112" spans="1:4" hidden="1" x14ac:dyDescent="0.25">
      <c r="A3112" t="s">
        <v>647</v>
      </c>
      <c r="B3112" t="s">
        <v>171</v>
      </c>
      <c r="C3112" s="2">
        <f>HYPERLINK("https://sao.dolgi.msk.ru/account/1404197983/", 1404197983)</f>
        <v>1404197983</v>
      </c>
      <c r="D3112">
        <v>-6762.94</v>
      </c>
    </row>
    <row r="3113" spans="1:4" hidden="1" x14ac:dyDescent="0.25">
      <c r="A3113" t="s">
        <v>647</v>
      </c>
      <c r="B3113" t="s">
        <v>172</v>
      </c>
      <c r="C3113" s="2">
        <f>HYPERLINK("https://sao.dolgi.msk.ru/account/1404199305/", 1404199305)</f>
        <v>1404199305</v>
      </c>
      <c r="D3113">
        <v>0</v>
      </c>
    </row>
    <row r="3114" spans="1:4" hidden="1" x14ac:dyDescent="0.25">
      <c r="A3114" t="s">
        <v>647</v>
      </c>
      <c r="B3114" t="s">
        <v>173</v>
      </c>
      <c r="C3114" s="2">
        <f>HYPERLINK("https://sao.dolgi.msk.ru/account/1404198732/", 1404198732)</f>
        <v>1404198732</v>
      </c>
      <c r="D3114">
        <v>-4585.2299999999996</v>
      </c>
    </row>
    <row r="3115" spans="1:4" hidden="1" x14ac:dyDescent="0.25">
      <c r="A3115" t="s">
        <v>647</v>
      </c>
      <c r="B3115" t="s">
        <v>174</v>
      </c>
      <c r="C3115" s="2">
        <f>HYPERLINK("https://sao.dolgi.msk.ru/account/1404199049/", 1404199049)</f>
        <v>1404199049</v>
      </c>
      <c r="D3115">
        <v>-3727.09</v>
      </c>
    </row>
    <row r="3116" spans="1:4" x14ac:dyDescent="0.25">
      <c r="A3116" t="s">
        <v>647</v>
      </c>
      <c r="B3116" t="s">
        <v>175</v>
      </c>
      <c r="C3116" s="2">
        <f>HYPERLINK("https://sao.dolgi.msk.ru/account/1404197393/", 1404197393)</f>
        <v>1404197393</v>
      </c>
      <c r="D3116">
        <v>6781.95</v>
      </c>
    </row>
    <row r="3117" spans="1:4" hidden="1" x14ac:dyDescent="0.25">
      <c r="A3117" t="s">
        <v>648</v>
      </c>
      <c r="B3117" t="s">
        <v>5</v>
      </c>
      <c r="C3117" s="2">
        <f>HYPERLINK("https://sao.dolgi.msk.ru/account/1404199495/", 1404199495)</f>
        <v>1404199495</v>
      </c>
      <c r="D3117">
        <v>-6253.82</v>
      </c>
    </row>
    <row r="3118" spans="1:4" x14ac:dyDescent="0.25">
      <c r="A3118" t="s">
        <v>648</v>
      </c>
      <c r="B3118" t="s">
        <v>6</v>
      </c>
      <c r="C3118" s="2">
        <f>HYPERLINK("https://sao.dolgi.msk.ru/account/1404199401/", 1404199401)</f>
        <v>1404199401</v>
      </c>
      <c r="D3118">
        <v>22389.51</v>
      </c>
    </row>
    <row r="3119" spans="1:4" hidden="1" x14ac:dyDescent="0.25">
      <c r="A3119" t="s">
        <v>648</v>
      </c>
      <c r="B3119" t="s">
        <v>7</v>
      </c>
      <c r="C3119" s="2">
        <f>HYPERLINK("https://sao.dolgi.msk.ru/account/1404200951/", 1404200951)</f>
        <v>1404200951</v>
      </c>
      <c r="D3119">
        <v>-5254.05</v>
      </c>
    </row>
    <row r="3120" spans="1:4" hidden="1" x14ac:dyDescent="0.25">
      <c r="A3120" t="s">
        <v>648</v>
      </c>
      <c r="B3120" t="s">
        <v>8</v>
      </c>
      <c r="C3120" s="2">
        <f>HYPERLINK("https://sao.dolgi.msk.ru/account/1404200724/", 1404200724)</f>
        <v>1404200724</v>
      </c>
      <c r="D3120">
        <v>-5848.5</v>
      </c>
    </row>
    <row r="3121" spans="1:4" hidden="1" x14ac:dyDescent="0.25">
      <c r="A3121" t="s">
        <v>648</v>
      </c>
      <c r="B3121" t="s">
        <v>9</v>
      </c>
      <c r="C3121" s="2">
        <f>HYPERLINK("https://sao.dolgi.msk.ru/account/1404200142/", 1404200142)</f>
        <v>1404200142</v>
      </c>
      <c r="D3121">
        <v>-9119.56</v>
      </c>
    </row>
    <row r="3122" spans="1:4" hidden="1" x14ac:dyDescent="0.25">
      <c r="A3122" t="s">
        <v>648</v>
      </c>
      <c r="B3122" t="s">
        <v>10</v>
      </c>
      <c r="C3122" s="2">
        <f>HYPERLINK("https://sao.dolgi.msk.ru/account/1404201356/", 1404201356)</f>
        <v>1404201356</v>
      </c>
      <c r="D3122">
        <v>0</v>
      </c>
    </row>
    <row r="3123" spans="1:4" hidden="1" x14ac:dyDescent="0.25">
      <c r="A3123" t="s">
        <v>648</v>
      </c>
      <c r="B3123" t="s">
        <v>11</v>
      </c>
      <c r="C3123" s="2">
        <f>HYPERLINK("https://sao.dolgi.msk.ru/account/1404200839/", 1404200839)</f>
        <v>1404200839</v>
      </c>
      <c r="D3123">
        <v>0</v>
      </c>
    </row>
    <row r="3124" spans="1:4" hidden="1" x14ac:dyDescent="0.25">
      <c r="A3124" t="s">
        <v>648</v>
      </c>
      <c r="B3124" t="s">
        <v>12</v>
      </c>
      <c r="C3124" s="2">
        <f>HYPERLINK("https://sao.dolgi.msk.ru/account/1404199735/", 1404199735)</f>
        <v>1404199735</v>
      </c>
      <c r="D3124">
        <v>0</v>
      </c>
    </row>
    <row r="3125" spans="1:4" x14ac:dyDescent="0.25">
      <c r="A3125" t="s">
        <v>648</v>
      </c>
      <c r="B3125" t="s">
        <v>13</v>
      </c>
      <c r="C3125" s="2">
        <f>HYPERLINK("https://sao.dolgi.msk.ru/account/1404199743/", 1404199743)</f>
        <v>1404199743</v>
      </c>
      <c r="D3125">
        <v>11664.68</v>
      </c>
    </row>
    <row r="3126" spans="1:4" hidden="1" x14ac:dyDescent="0.25">
      <c r="A3126" t="s">
        <v>648</v>
      </c>
      <c r="B3126" t="s">
        <v>14</v>
      </c>
      <c r="C3126" s="2">
        <f>HYPERLINK("https://sao.dolgi.msk.ru/account/1404200038/", 1404200038)</f>
        <v>1404200038</v>
      </c>
      <c r="D3126">
        <v>-3023.56</v>
      </c>
    </row>
    <row r="3127" spans="1:4" x14ac:dyDescent="0.25">
      <c r="A3127" t="s">
        <v>648</v>
      </c>
      <c r="B3127" t="s">
        <v>15</v>
      </c>
      <c r="C3127" s="2">
        <f>HYPERLINK("https://sao.dolgi.msk.ru/account/1404199356/", 1404199356)</f>
        <v>1404199356</v>
      </c>
      <c r="D3127">
        <v>8702.5400000000009</v>
      </c>
    </row>
    <row r="3128" spans="1:4" hidden="1" x14ac:dyDescent="0.25">
      <c r="A3128" t="s">
        <v>648</v>
      </c>
      <c r="B3128" t="s">
        <v>16</v>
      </c>
      <c r="C3128" s="2">
        <f>HYPERLINK("https://sao.dolgi.msk.ru/account/1404201102/", 1404201102)</f>
        <v>1404201102</v>
      </c>
      <c r="D3128">
        <v>-8332.84</v>
      </c>
    </row>
    <row r="3129" spans="1:4" hidden="1" x14ac:dyDescent="0.25">
      <c r="A3129" t="s">
        <v>648</v>
      </c>
      <c r="B3129" t="s">
        <v>17</v>
      </c>
      <c r="C3129" s="2">
        <f>HYPERLINK("https://sao.dolgi.msk.ru/account/1404199372/", 1404199372)</f>
        <v>1404199372</v>
      </c>
      <c r="D3129">
        <v>-2000.27</v>
      </c>
    </row>
    <row r="3130" spans="1:4" hidden="1" x14ac:dyDescent="0.25">
      <c r="A3130" t="s">
        <v>648</v>
      </c>
      <c r="B3130" t="s">
        <v>17</v>
      </c>
      <c r="C3130" s="2">
        <f>HYPERLINK("https://sao.dolgi.msk.ru/account/1404200281/", 1404200281)</f>
        <v>1404200281</v>
      </c>
      <c r="D3130">
        <v>-2298.09</v>
      </c>
    </row>
    <row r="3131" spans="1:4" hidden="1" x14ac:dyDescent="0.25">
      <c r="A3131" t="s">
        <v>648</v>
      </c>
      <c r="B3131" t="s">
        <v>18</v>
      </c>
      <c r="C3131" s="2">
        <f>HYPERLINK("https://sao.dolgi.msk.ru/account/1404199962/", 1404199962)</f>
        <v>1404199962</v>
      </c>
      <c r="D3131">
        <v>-4481.55</v>
      </c>
    </row>
    <row r="3132" spans="1:4" hidden="1" x14ac:dyDescent="0.25">
      <c r="A3132" t="s">
        <v>648</v>
      </c>
      <c r="B3132" t="s">
        <v>19</v>
      </c>
      <c r="C3132" s="2">
        <f>HYPERLINK("https://sao.dolgi.msk.ru/account/1404200062/", 1404200062)</f>
        <v>1404200062</v>
      </c>
      <c r="D3132">
        <v>-5837.15</v>
      </c>
    </row>
    <row r="3133" spans="1:4" hidden="1" x14ac:dyDescent="0.25">
      <c r="A3133" t="s">
        <v>648</v>
      </c>
      <c r="B3133" t="s">
        <v>20</v>
      </c>
      <c r="C3133" s="2">
        <f>HYPERLINK("https://sao.dolgi.msk.ru/account/1404200935/", 1404200935)</f>
        <v>1404200935</v>
      </c>
      <c r="D3133">
        <v>-8859.4</v>
      </c>
    </row>
    <row r="3134" spans="1:4" hidden="1" x14ac:dyDescent="0.25">
      <c r="A3134" t="s">
        <v>648</v>
      </c>
      <c r="B3134" t="s">
        <v>21</v>
      </c>
      <c r="C3134" s="2">
        <f>HYPERLINK("https://sao.dolgi.msk.ru/account/1404199794/", 1404199794)</f>
        <v>1404199794</v>
      </c>
      <c r="D3134">
        <v>-7150.44</v>
      </c>
    </row>
    <row r="3135" spans="1:4" x14ac:dyDescent="0.25">
      <c r="A3135" t="s">
        <v>648</v>
      </c>
      <c r="B3135" t="s">
        <v>22</v>
      </c>
      <c r="C3135" s="2">
        <f>HYPERLINK("https://sao.dolgi.msk.ru/account/1404200185/", 1404200185)</f>
        <v>1404200185</v>
      </c>
      <c r="D3135">
        <v>2946.31</v>
      </c>
    </row>
    <row r="3136" spans="1:4" hidden="1" x14ac:dyDescent="0.25">
      <c r="A3136" t="s">
        <v>648</v>
      </c>
      <c r="B3136" t="s">
        <v>23</v>
      </c>
      <c r="C3136" s="2">
        <f>HYPERLINK("https://sao.dolgi.msk.ru/account/1404199874/", 1404199874)</f>
        <v>1404199874</v>
      </c>
      <c r="D3136">
        <v>0</v>
      </c>
    </row>
    <row r="3137" spans="1:4" hidden="1" x14ac:dyDescent="0.25">
      <c r="A3137" t="s">
        <v>648</v>
      </c>
      <c r="B3137" t="s">
        <v>24</v>
      </c>
      <c r="C3137" s="2">
        <f>HYPERLINK("https://sao.dolgi.msk.ru/account/1404200863/", 1404200863)</f>
        <v>1404200863</v>
      </c>
      <c r="D3137">
        <v>-5740.23</v>
      </c>
    </row>
    <row r="3138" spans="1:4" hidden="1" x14ac:dyDescent="0.25">
      <c r="A3138" t="s">
        <v>648</v>
      </c>
      <c r="B3138" t="s">
        <v>25</v>
      </c>
      <c r="C3138" s="2">
        <f>HYPERLINK("https://sao.dolgi.msk.ru/account/1404199751/", 1404199751)</f>
        <v>1404199751</v>
      </c>
      <c r="D3138">
        <v>0</v>
      </c>
    </row>
    <row r="3139" spans="1:4" hidden="1" x14ac:dyDescent="0.25">
      <c r="A3139" t="s">
        <v>648</v>
      </c>
      <c r="B3139" t="s">
        <v>26</v>
      </c>
      <c r="C3139" s="2">
        <f>HYPERLINK("https://sao.dolgi.msk.ru/account/1404200425/", 1404200425)</f>
        <v>1404200425</v>
      </c>
      <c r="D3139">
        <v>0</v>
      </c>
    </row>
    <row r="3140" spans="1:4" hidden="1" x14ac:dyDescent="0.25">
      <c r="A3140" t="s">
        <v>648</v>
      </c>
      <c r="B3140" t="s">
        <v>27</v>
      </c>
      <c r="C3140" s="2">
        <f>HYPERLINK("https://sao.dolgi.msk.ru/account/1404201444/", 1404201444)</f>
        <v>1404201444</v>
      </c>
      <c r="D3140">
        <v>0</v>
      </c>
    </row>
    <row r="3141" spans="1:4" hidden="1" x14ac:dyDescent="0.25">
      <c r="A3141" t="s">
        <v>648</v>
      </c>
      <c r="B3141" t="s">
        <v>28</v>
      </c>
      <c r="C3141" s="2">
        <f>HYPERLINK("https://sao.dolgi.msk.ru/account/1404200054/", 1404200054)</f>
        <v>1404200054</v>
      </c>
      <c r="D3141">
        <v>-7293.63</v>
      </c>
    </row>
    <row r="3142" spans="1:4" hidden="1" x14ac:dyDescent="0.25">
      <c r="A3142" t="s">
        <v>648</v>
      </c>
      <c r="B3142" t="s">
        <v>649</v>
      </c>
      <c r="C3142" s="2">
        <f>HYPERLINK("https://sao.dolgi.msk.ru/account/1404200564/", 1404200564)</f>
        <v>1404200564</v>
      </c>
      <c r="D3142">
        <v>0</v>
      </c>
    </row>
    <row r="3143" spans="1:4" hidden="1" x14ac:dyDescent="0.25">
      <c r="A3143" t="s">
        <v>648</v>
      </c>
      <c r="B3143" t="s">
        <v>31</v>
      </c>
      <c r="C3143" s="2">
        <f>HYPERLINK("https://sao.dolgi.msk.ru/account/1404201073/", 1404201073)</f>
        <v>1404201073</v>
      </c>
      <c r="D3143">
        <v>-2417.1</v>
      </c>
    </row>
    <row r="3144" spans="1:4" hidden="1" x14ac:dyDescent="0.25">
      <c r="A3144" t="s">
        <v>648</v>
      </c>
      <c r="B3144" t="s">
        <v>32</v>
      </c>
      <c r="C3144" s="2">
        <f>HYPERLINK("https://sao.dolgi.msk.ru/account/1404200345/", 1404200345)</f>
        <v>1404200345</v>
      </c>
      <c r="D3144">
        <v>-5161.0600000000004</v>
      </c>
    </row>
    <row r="3145" spans="1:4" hidden="1" x14ac:dyDescent="0.25">
      <c r="A3145" t="s">
        <v>648</v>
      </c>
      <c r="B3145" t="s">
        <v>33</v>
      </c>
      <c r="C3145" s="2">
        <f>HYPERLINK("https://sao.dolgi.msk.ru/account/1404200097/", 1404200097)</f>
        <v>1404200097</v>
      </c>
      <c r="D3145">
        <v>0</v>
      </c>
    </row>
    <row r="3146" spans="1:4" hidden="1" x14ac:dyDescent="0.25">
      <c r="A3146" t="s">
        <v>648</v>
      </c>
      <c r="B3146" t="s">
        <v>34</v>
      </c>
      <c r="C3146" s="2">
        <f>HYPERLINK("https://sao.dolgi.msk.ru/account/1404200476/", 1404200476)</f>
        <v>1404200476</v>
      </c>
      <c r="D3146">
        <v>-5569.37</v>
      </c>
    </row>
    <row r="3147" spans="1:4" hidden="1" x14ac:dyDescent="0.25">
      <c r="A3147" t="s">
        <v>648</v>
      </c>
      <c r="B3147" t="s">
        <v>35</v>
      </c>
      <c r="C3147" s="2">
        <f>HYPERLINK("https://sao.dolgi.msk.ru/account/1404200484/", 1404200484)</f>
        <v>1404200484</v>
      </c>
      <c r="D3147">
        <v>-7158.03</v>
      </c>
    </row>
    <row r="3148" spans="1:4" hidden="1" x14ac:dyDescent="0.25">
      <c r="A3148" t="s">
        <v>648</v>
      </c>
      <c r="B3148" t="s">
        <v>36</v>
      </c>
      <c r="C3148" s="2">
        <f>HYPERLINK("https://sao.dolgi.msk.ru/account/1404199348/", 1404199348)</f>
        <v>1404199348</v>
      </c>
      <c r="D3148">
        <v>0</v>
      </c>
    </row>
    <row r="3149" spans="1:4" hidden="1" x14ac:dyDescent="0.25">
      <c r="A3149" t="s">
        <v>648</v>
      </c>
      <c r="B3149" t="s">
        <v>37</v>
      </c>
      <c r="C3149" s="2">
        <f>HYPERLINK("https://sao.dolgi.msk.ru/account/1404199807/", 1404199807)</f>
        <v>1404199807</v>
      </c>
      <c r="D3149">
        <v>0</v>
      </c>
    </row>
    <row r="3150" spans="1:4" hidden="1" x14ac:dyDescent="0.25">
      <c r="A3150" t="s">
        <v>648</v>
      </c>
      <c r="B3150" t="s">
        <v>38</v>
      </c>
      <c r="C3150" s="2">
        <f>HYPERLINK("https://sao.dolgi.msk.ru/account/1404201014/", 1404201014)</f>
        <v>1404201014</v>
      </c>
      <c r="D3150">
        <v>0</v>
      </c>
    </row>
    <row r="3151" spans="1:4" hidden="1" x14ac:dyDescent="0.25">
      <c r="A3151" t="s">
        <v>648</v>
      </c>
      <c r="B3151" t="s">
        <v>39</v>
      </c>
      <c r="C3151" s="2">
        <f>HYPERLINK("https://sao.dolgi.msk.ru/account/1404200599/", 1404200599)</f>
        <v>1404200599</v>
      </c>
      <c r="D3151">
        <v>0</v>
      </c>
    </row>
    <row r="3152" spans="1:4" hidden="1" x14ac:dyDescent="0.25">
      <c r="A3152" t="s">
        <v>648</v>
      </c>
      <c r="B3152" t="s">
        <v>40</v>
      </c>
      <c r="C3152" s="2">
        <f>HYPERLINK("https://sao.dolgi.msk.ru/account/1404200601/", 1404200601)</f>
        <v>1404200601</v>
      </c>
      <c r="D3152">
        <v>0</v>
      </c>
    </row>
    <row r="3153" spans="1:4" hidden="1" x14ac:dyDescent="0.25">
      <c r="A3153" t="s">
        <v>648</v>
      </c>
      <c r="B3153" t="s">
        <v>41</v>
      </c>
      <c r="C3153" s="2">
        <f>HYPERLINK("https://sao.dolgi.msk.ru/account/1404200265/", 1404200265)</f>
        <v>1404200265</v>
      </c>
      <c r="D3153">
        <v>-9558.2099999999991</v>
      </c>
    </row>
    <row r="3154" spans="1:4" x14ac:dyDescent="0.25">
      <c r="A3154" t="s">
        <v>648</v>
      </c>
      <c r="B3154" t="s">
        <v>42</v>
      </c>
      <c r="C3154" s="2">
        <f>HYPERLINK("https://sao.dolgi.msk.ru/account/1404201057/", 1404201057)</f>
        <v>1404201057</v>
      </c>
      <c r="D3154">
        <v>12555.58</v>
      </c>
    </row>
    <row r="3155" spans="1:4" x14ac:dyDescent="0.25">
      <c r="A3155" t="s">
        <v>648</v>
      </c>
      <c r="B3155" t="s">
        <v>43</v>
      </c>
      <c r="C3155" s="2">
        <f>HYPERLINK("https://sao.dolgi.msk.ru/account/1404199399/", 1404199399)</f>
        <v>1404199399</v>
      </c>
      <c r="D3155">
        <v>5361.14</v>
      </c>
    </row>
    <row r="3156" spans="1:4" hidden="1" x14ac:dyDescent="0.25">
      <c r="A3156" t="s">
        <v>648</v>
      </c>
      <c r="B3156" t="s">
        <v>44</v>
      </c>
      <c r="C3156" s="2">
        <f>HYPERLINK("https://sao.dolgi.msk.ru/account/1404201276/", 1404201276)</f>
        <v>1404201276</v>
      </c>
      <c r="D3156">
        <v>-6737.39</v>
      </c>
    </row>
    <row r="3157" spans="1:4" x14ac:dyDescent="0.25">
      <c r="A3157" t="s">
        <v>648</v>
      </c>
      <c r="B3157" t="s">
        <v>45</v>
      </c>
      <c r="C3157" s="2">
        <f>HYPERLINK("https://sao.dolgi.msk.ru/account/1404199516/", 1404199516)</f>
        <v>1404199516</v>
      </c>
      <c r="D3157">
        <v>34043.370000000003</v>
      </c>
    </row>
    <row r="3158" spans="1:4" hidden="1" x14ac:dyDescent="0.25">
      <c r="A3158" t="s">
        <v>648</v>
      </c>
      <c r="B3158" t="s">
        <v>45</v>
      </c>
      <c r="C3158" s="2">
        <f>HYPERLINK("https://sao.dolgi.msk.ru/account/1404200994/", 1404200994)</f>
        <v>1404200994</v>
      </c>
      <c r="D3158">
        <v>0</v>
      </c>
    </row>
    <row r="3159" spans="1:4" hidden="1" x14ac:dyDescent="0.25">
      <c r="A3159" t="s">
        <v>648</v>
      </c>
      <c r="B3159" t="s">
        <v>46</v>
      </c>
      <c r="C3159" s="2">
        <f>HYPERLINK("https://sao.dolgi.msk.ru/account/1404199858/", 1404199858)</f>
        <v>1404199858</v>
      </c>
      <c r="D3159">
        <v>-5655.35</v>
      </c>
    </row>
    <row r="3160" spans="1:4" x14ac:dyDescent="0.25">
      <c r="A3160" t="s">
        <v>648</v>
      </c>
      <c r="B3160" t="s">
        <v>47</v>
      </c>
      <c r="C3160" s="2">
        <f>HYPERLINK("https://sao.dolgi.msk.ru/account/1404200687/", 1404200687)</f>
        <v>1404200687</v>
      </c>
      <c r="D3160">
        <v>21261.93</v>
      </c>
    </row>
    <row r="3161" spans="1:4" hidden="1" x14ac:dyDescent="0.25">
      <c r="A3161" t="s">
        <v>648</v>
      </c>
      <c r="B3161" t="s">
        <v>48</v>
      </c>
      <c r="C3161" s="2">
        <f>HYPERLINK("https://sao.dolgi.msk.ru/account/1404200628/", 1404200628)</f>
        <v>1404200628</v>
      </c>
      <c r="D3161">
        <v>0</v>
      </c>
    </row>
    <row r="3162" spans="1:4" hidden="1" x14ac:dyDescent="0.25">
      <c r="A3162" t="s">
        <v>648</v>
      </c>
      <c r="B3162" t="s">
        <v>49</v>
      </c>
      <c r="C3162" s="2">
        <f>HYPERLINK("https://sao.dolgi.msk.ru/account/1404200361/", 1404200361)</f>
        <v>1404200361</v>
      </c>
      <c r="D3162">
        <v>-7648.61</v>
      </c>
    </row>
    <row r="3163" spans="1:4" hidden="1" x14ac:dyDescent="0.25">
      <c r="A3163" t="s">
        <v>648</v>
      </c>
      <c r="B3163" t="s">
        <v>50</v>
      </c>
      <c r="C3163" s="2">
        <f>HYPERLINK("https://sao.dolgi.msk.ru/account/1404200919/", 1404200919)</f>
        <v>1404200919</v>
      </c>
      <c r="D3163">
        <v>-4985.62</v>
      </c>
    </row>
    <row r="3164" spans="1:4" hidden="1" x14ac:dyDescent="0.25">
      <c r="A3164" t="s">
        <v>648</v>
      </c>
      <c r="B3164" t="s">
        <v>51</v>
      </c>
      <c r="C3164" s="2">
        <f>HYPERLINK("https://sao.dolgi.msk.ru/account/1404199815/", 1404199815)</f>
        <v>1404199815</v>
      </c>
      <c r="D3164">
        <v>0</v>
      </c>
    </row>
    <row r="3165" spans="1:4" hidden="1" x14ac:dyDescent="0.25">
      <c r="A3165" t="s">
        <v>648</v>
      </c>
      <c r="B3165" t="s">
        <v>52</v>
      </c>
      <c r="C3165" s="2">
        <f>HYPERLINK("https://sao.dolgi.msk.ru/account/1404201129/", 1404201129)</f>
        <v>1404201129</v>
      </c>
      <c r="D3165">
        <v>-12527.6</v>
      </c>
    </row>
    <row r="3166" spans="1:4" hidden="1" x14ac:dyDescent="0.25">
      <c r="A3166" t="s">
        <v>648</v>
      </c>
      <c r="B3166" t="s">
        <v>53</v>
      </c>
      <c r="C3166" s="2">
        <f>HYPERLINK("https://sao.dolgi.msk.ru/account/1404199671/", 1404199671)</f>
        <v>1404199671</v>
      </c>
      <c r="D3166">
        <v>-6468.9</v>
      </c>
    </row>
    <row r="3167" spans="1:4" hidden="1" x14ac:dyDescent="0.25">
      <c r="A3167" t="s">
        <v>648</v>
      </c>
      <c r="B3167" t="s">
        <v>54</v>
      </c>
      <c r="C3167" s="2">
        <f>HYPERLINK("https://sao.dolgi.msk.ru/account/1404201161/", 1404201161)</f>
        <v>1404201161</v>
      </c>
      <c r="D3167">
        <v>0</v>
      </c>
    </row>
    <row r="3168" spans="1:4" hidden="1" x14ac:dyDescent="0.25">
      <c r="A3168" t="s">
        <v>648</v>
      </c>
      <c r="B3168" t="s">
        <v>55</v>
      </c>
      <c r="C3168" s="2">
        <f>HYPERLINK("https://sao.dolgi.msk.ru/account/1404199559/", 1404199559)</f>
        <v>1404199559</v>
      </c>
      <c r="D3168">
        <v>-5826.45</v>
      </c>
    </row>
    <row r="3169" spans="1:4" hidden="1" x14ac:dyDescent="0.25">
      <c r="A3169" t="s">
        <v>648</v>
      </c>
      <c r="B3169" t="s">
        <v>56</v>
      </c>
      <c r="C3169" s="2">
        <f>HYPERLINK("https://sao.dolgi.msk.ru/account/1404199823/", 1404199823)</f>
        <v>1404199823</v>
      </c>
      <c r="D3169">
        <v>-4058.84</v>
      </c>
    </row>
    <row r="3170" spans="1:4" hidden="1" x14ac:dyDescent="0.25">
      <c r="A3170" t="s">
        <v>648</v>
      </c>
      <c r="B3170" t="s">
        <v>57</v>
      </c>
      <c r="C3170" s="2">
        <f>HYPERLINK("https://sao.dolgi.msk.ru/account/1404200222/", 1404200222)</f>
        <v>1404200222</v>
      </c>
      <c r="D3170">
        <v>0</v>
      </c>
    </row>
    <row r="3171" spans="1:4" hidden="1" x14ac:dyDescent="0.25">
      <c r="A3171" t="s">
        <v>648</v>
      </c>
      <c r="B3171" t="s">
        <v>58</v>
      </c>
      <c r="C3171" s="2">
        <f>HYPERLINK("https://sao.dolgi.msk.ru/account/1404200249/", 1404200249)</f>
        <v>1404200249</v>
      </c>
      <c r="D3171">
        <v>-2418.2199999999998</v>
      </c>
    </row>
    <row r="3172" spans="1:4" hidden="1" x14ac:dyDescent="0.25">
      <c r="A3172" t="s">
        <v>648</v>
      </c>
      <c r="B3172" t="s">
        <v>59</v>
      </c>
      <c r="C3172" s="2">
        <f>HYPERLINK("https://sao.dolgi.msk.ru/account/1404200257/", 1404200257)</f>
        <v>1404200257</v>
      </c>
      <c r="D3172">
        <v>0</v>
      </c>
    </row>
    <row r="3173" spans="1:4" hidden="1" x14ac:dyDescent="0.25">
      <c r="A3173" t="s">
        <v>648</v>
      </c>
      <c r="B3173" t="s">
        <v>60</v>
      </c>
      <c r="C3173" s="2">
        <f>HYPERLINK("https://sao.dolgi.msk.ru/account/1404199612/", 1404199612)</f>
        <v>1404199612</v>
      </c>
      <c r="D3173">
        <v>-6770.21</v>
      </c>
    </row>
    <row r="3174" spans="1:4" x14ac:dyDescent="0.25">
      <c r="A3174" t="s">
        <v>648</v>
      </c>
      <c r="B3174" t="s">
        <v>61</v>
      </c>
      <c r="C3174" s="2">
        <f>HYPERLINK("https://sao.dolgi.msk.ru/account/1404200644/", 1404200644)</f>
        <v>1404200644</v>
      </c>
      <c r="D3174">
        <v>20982.65</v>
      </c>
    </row>
    <row r="3175" spans="1:4" hidden="1" x14ac:dyDescent="0.25">
      <c r="A3175" t="s">
        <v>648</v>
      </c>
      <c r="B3175" t="s">
        <v>62</v>
      </c>
      <c r="C3175" s="2">
        <f>HYPERLINK("https://sao.dolgi.msk.ru/account/1404200409/", 1404200409)</f>
        <v>1404200409</v>
      </c>
      <c r="D3175">
        <v>0</v>
      </c>
    </row>
    <row r="3176" spans="1:4" hidden="1" x14ac:dyDescent="0.25">
      <c r="A3176" t="s">
        <v>648</v>
      </c>
      <c r="B3176" t="s">
        <v>63</v>
      </c>
      <c r="C3176" s="2">
        <f>HYPERLINK("https://sao.dolgi.msk.ru/account/1404200417/", 1404200417)</f>
        <v>1404200417</v>
      </c>
      <c r="D3176">
        <v>-3768.15</v>
      </c>
    </row>
    <row r="3177" spans="1:4" x14ac:dyDescent="0.25">
      <c r="A3177" t="s">
        <v>648</v>
      </c>
      <c r="B3177" t="s">
        <v>64</v>
      </c>
      <c r="C3177" s="2">
        <f>HYPERLINK("https://sao.dolgi.msk.ru/account/1404199786/", 1404199786)</f>
        <v>1404199786</v>
      </c>
      <c r="D3177">
        <v>20728.240000000002</v>
      </c>
    </row>
    <row r="3178" spans="1:4" hidden="1" x14ac:dyDescent="0.25">
      <c r="A3178" t="s">
        <v>648</v>
      </c>
      <c r="B3178" t="s">
        <v>65</v>
      </c>
      <c r="C3178" s="2">
        <f>HYPERLINK("https://sao.dolgi.msk.ru/account/1404201217/", 1404201217)</f>
        <v>1404201217</v>
      </c>
      <c r="D3178">
        <v>0</v>
      </c>
    </row>
    <row r="3179" spans="1:4" hidden="1" x14ac:dyDescent="0.25">
      <c r="A3179" t="s">
        <v>648</v>
      </c>
      <c r="B3179" t="s">
        <v>66</v>
      </c>
      <c r="C3179" s="2">
        <f>HYPERLINK("https://sao.dolgi.msk.ru/account/1404200118/", 1404200118)</f>
        <v>1404200118</v>
      </c>
      <c r="D3179">
        <v>-2097.86</v>
      </c>
    </row>
    <row r="3180" spans="1:4" hidden="1" x14ac:dyDescent="0.25">
      <c r="A3180" t="s">
        <v>648</v>
      </c>
      <c r="B3180" t="s">
        <v>67</v>
      </c>
      <c r="C3180" s="2">
        <f>HYPERLINK("https://sao.dolgi.msk.ru/account/1404199364/", 1404199364)</f>
        <v>1404199364</v>
      </c>
      <c r="D3180">
        <v>-781.59</v>
      </c>
    </row>
    <row r="3181" spans="1:4" hidden="1" x14ac:dyDescent="0.25">
      <c r="A3181" t="s">
        <v>648</v>
      </c>
      <c r="B3181" t="s">
        <v>68</v>
      </c>
      <c r="C3181" s="2">
        <f>HYPERLINK("https://sao.dolgi.msk.ru/account/1404199882/", 1404199882)</f>
        <v>1404199882</v>
      </c>
      <c r="D3181">
        <v>0</v>
      </c>
    </row>
    <row r="3182" spans="1:4" x14ac:dyDescent="0.25">
      <c r="A3182" t="s">
        <v>648</v>
      </c>
      <c r="B3182" t="s">
        <v>69</v>
      </c>
      <c r="C3182" s="2">
        <f>HYPERLINK("https://sao.dolgi.msk.ru/account/1404200652/", 1404200652)</f>
        <v>1404200652</v>
      </c>
      <c r="D3182">
        <v>17220.11</v>
      </c>
    </row>
    <row r="3183" spans="1:4" hidden="1" x14ac:dyDescent="0.25">
      <c r="A3183" t="s">
        <v>648</v>
      </c>
      <c r="B3183" t="s">
        <v>70</v>
      </c>
      <c r="C3183" s="2">
        <f>HYPERLINK("https://sao.dolgi.msk.ru/account/1404200732/", 1404200732)</f>
        <v>1404200732</v>
      </c>
      <c r="D3183">
        <v>0</v>
      </c>
    </row>
    <row r="3184" spans="1:4" hidden="1" x14ac:dyDescent="0.25">
      <c r="A3184" t="s">
        <v>648</v>
      </c>
      <c r="B3184" t="s">
        <v>71</v>
      </c>
      <c r="C3184" s="2">
        <f>HYPERLINK("https://sao.dolgi.msk.ru/account/1404200513/", 1404200513)</f>
        <v>1404200513</v>
      </c>
      <c r="D3184">
        <v>-7264.48</v>
      </c>
    </row>
    <row r="3185" spans="1:4" hidden="1" x14ac:dyDescent="0.25">
      <c r="A3185" t="s">
        <v>648</v>
      </c>
      <c r="B3185" t="s">
        <v>72</v>
      </c>
      <c r="C3185" s="2">
        <f>HYPERLINK("https://sao.dolgi.msk.ru/account/1404201292/", 1404201292)</f>
        <v>1404201292</v>
      </c>
      <c r="D3185">
        <v>-9466.4699999999993</v>
      </c>
    </row>
    <row r="3186" spans="1:4" hidden="1" x14ac:dyDescent="0.25">
      <c r="A3186" t="s">
        <v>648</v>
      </c>
      <c r="B3186" t="s">
        <v>73</v>
      </c>
      <c r="C3186" s="2">
        <f>HYPERLINK("https://sao.dolgi.msk.ru/account/1404200759/", 1404200759)</f>
        <v>1404200759</v>
      </c>
      <c r="D3186">
        <v>-1837.49</v>
      </c>
    </row>
    <row r="3187" spans="1:4" hidden="1" x14ac:dyDescent="0.25">
      <c r="A3187" t="s">
        <v>648</v>
      </c>
      <c r="B3187" t="s">
        <v>74</v>
      </c>
      <c r="C3187" s="2">
        <f>HYPERLINK("https://sao.dolgi.msk.ru/account/1404201225/", 1404201225)</f>
        <v>1404201225</v>
      </c>
      <c r="D3187">
        <v>0</v>
      </c>
    </row>
    <row r="3188" spans="1:4" x14ac:dyDescent="0.25">
      <c r="A3188" t="s">
        <v>648</v>
      </c>
      <c r="B3188" t="s">
        <v>75</v>
      </c>
      <c r="C3188" s="2">
        <f>HYPERLINK("https://sao.dolgi.msk.ru/account/1404200337/", 1404200337)</f>
        <v>1404200337</v>
      </c>
      <c r="D3188">
        <v>15909.59</v>
      </c>
    </row>
    <row r="3189" spans="1:4" hidden="1" x14ac:dyDescent="0.25">
      <c r="A3189" t="s">
        <v>648</v>
      </c>
      <c r="B3189" t="s">
        <v>76</v>
      </c>
      <c r="C3189" s="2">
        <f>HYPERLINK("https://sao.dolgi.msk.ru/account/1404200855/", 1404200855)</f>
        <v>1404200855</v>
      </c>
      <c r="D3189">
        <v>-11806.57</v>
      </c>
    </row>
    <row r="3190" spans="1:4" hidden="1" x14ac:dyDescent="0.25">
      <c r="A3190" t="s">
        <v>648</v>
      </c>
      <c r="B3190" t="s">
        <v>77</v>
      </c>
      <c r="C3190" s="2">
        <f>HYPERLINK("https://sao.dolgi.msk.ru/account/1404200011/", 1404200011)</f>
        <v>1404200011</v>
      </c>
      <c r="D3190">
        <v>0</v>
      </c>
    </row>
    <row r="3191" spans="1:4" hidden="1" x14ac:dyDescent="0.25">
      <c r="A3191" t="s">
        <v>648</v>
      </c>
      <c r="B3191" t="s">
        <v>78</v>
      </c>
      <c r="C3191" s="2">
        <f>HYPERLINK("https://sao.dolgi.msk.ru/account/1404199604/", 1404199604)</f>
        <v>1404199604</v>
      </c>
      <c r="D3191">
        <v>-3466.53</v>
      </c>
    </row>
    <row r="3192" spans="1:4" hidden="1" x14ac:dyDescent="0.25">
      <c r="A3192" t="s">
        <v>648</v>
      </c>
      <c r="B3192" t="s">
        <v>79</v>
      </c>
      <c r="C3192" s="2">
        <f>HYPERLINK("https://sao.dolgi.msk.ru/account/1404201372/", 1404201372)</f>
        <v>1404201372</v>
      </c>
      <c r="D3192">
        <v>-5719.7</v>
      </c>
    </row>
    <row r="3193" spans="1:4" x14ac:dyDescent="0.25">
      <c r="A3193" t="s">
        <v>648</v>
      </c>
      <c r="B3193" t="s">
        <v>80</v>
      </c>
      <c r="C3193" s="2">
        <f>HYPERLINK("https://sao.dolgi.msk.ru/account/1404201049/", 1404201049)</f>
        <v>1404201049</v>
      </c>
      <c r="D3193">
        <v>30</v>
      </c>
    </row>
    <row r="3194" spans="1:4" hidden="1" x14ac:dyDescent="0.25">
      <c r="A3194" t="s">
        <v>648</v>
      </c>
      <c r="B3194" t="s">
        <v>81</v>
      </c>
      <c r="C3194" s="2">
        <f>HYPERLINK("https://sao.dolgi.msk.ru/account/1404199444/", 1404199444)</f>
        <v>1404199444</v>
      </c>
      <c r="D3194">
        <v>0</v>
      </c>
    </row>
    <row r="3195" spans="1:4" hidden="1" x14ac:dyDescent="0.25">
      <c r="A3195" t="s">
        <v>648</v>
      </c>
      <c r="B3195" t="s">
        <v>82</v>
      </c>
      <c r="C3195" s="2">
        <f>HYPERLINK("https://sao.dolgi.msk.ru/account/1404200767/", 1404200767)</f>
        <v>1404200767</v>
      </c>
      <c r="D3195">
        <v>0</v>
      </c>
    </row>
    <row r="3196" spans="1:4" x14ac:dyDescent="0.25">
      <c r="A3196" t="s">
        <v>648</v>
      </c>
      <c r="B3196" t="s">
        <v>83</v>
      </c>
      <c r="C3196" s="2">
        <f>HYPERLINK("https://sao.dolgi.msk.ru/account/1404199452/", 1404199452)</f>
        <v>1404199452</v>
      </c>
      <c r="D3196">
        <v>14541.04</v>
      </c>
    </row>
    <row r="3197" spans="1:4" hidden="1" x14ac:dyDescent="0.25">
      <c r="A3197" t="s">
        <v>648</v>
      </c>
      <c r="B3197" t="s">
        <v>84</v>
      </c>
      <c r="C3197" s="2">
        <f>HYPERLINK("https://sao.dolgi.msk.ru/account/1404199487/", 1404199487)</f>
        <v>1404199487</v>
      </c>
      <c r="D3197">
        <v>-7737.53</v>
      </c>
    </row>
    <row r="3198" spans="1:4" hidden="1" x14ac:dyDescent="0.25">
      <c r="A3198" t="s">
        <v>648</v>
      </c>
      <c r="B3198" t="s">
        <v>85</v>
      </c>
      <c r="C3198" s="2">
        <f>HYPERLINK("https://sao.dolgi.msk.ru/account/1404199428/", 1404199428)</f>
        <v>1404199428</v>
      </c>
      <c r="D3198">
        <v>-6540.49</v>
      </c>
    </row>
    <row r="3199" spans="1:4" hidden="1" x14ac:dyDescent="0.25">
      <c r="A3199" t="s">
        <v>648</v>
      </c>
      <c r="B3199" t="s">
        <v>86</v>
      </c>
      <c r="C3199" s="2">
        <f>HYPERLINK("https://sao.dolgi.msk.ru/account/1404201268/", 1404201268)</f>
        <v>1404201268</v>
      </c>
      <c r="D3199">
        <v>0</v>
      </c>
    </row>
    <row r="3200" spans="1:4" hidden="1" x14ac:dyDescent="0.25">
      <c r="A3200" t="s">
        <v>648</v>
      </c>
      <c r="B3200" t="s">
        <v>87</v>
      </c>
      <c r="C3200" s="2">
        <f>HYPERLINK("https://sao.dolgi.msk.ru/account/1404200978/", 1404200978)</f>
        <v>1404200978</v>
      </c>
      <c r="D3200">
        <v>-5117.09</v>
      </c>
    </row>
    <row r="3201" spans="1:4" hidden="1" x14ac:dyDescent="0.25">
      <c r="A3201" t="s">
        <v>648</v>
      </c>
      <c r="B3201" t="s">
        <v>88</v>
      </c>
      <c r="C3201" s="2">
        <f>HYPERLINK("https://sao.dolgi.msk.ru/account/1404199591/", 1404199591)</f>
        <v>1404199591</v>
      </c>
      <c r="D3201">
        <v>0</v>
      </c>
    </row>
    <row r="3202" spans="1:4" hidden="1" x14ac:dyDescent="0.25">
      <c r="A3202" t="s">
        <v>648</v>
      </c>
      <c r="B3202" t="s">
        <v>89</v>
      </c>
      <c r="C3202" s="2">
        <f>HYPERLINK("https://sao.dolgi.msk.ru/account/1404201284/", 1404201284)</f>
        <v>1404201284</v>
      </c>
      <c r="D3202">
        <v>-4911.91</v>
      </c>
    </row>
    <row r="3203" spans="1:4" hidden="1" x14ac:dyDescent="0.25">
      <c r="A3203" t="s">
        <v>648</v>
      </c>
      <c r="B3203" t="s">
        <v>90</v>
      </c>
      <c r="C3203" s="2">
        <f>HYPERLINK("https://sao.dolgi.msk.ru/account/1404200193/", 1404200193)</f>
        <v>1404200193</v>
      </c>
      <c r="D3203">
        <v>0</v>
      </c>
    </row>
    <row r="3204" spans="1:4" hidden="1" x14ac:dyDescent="0.25">
      <c r="A3204" t="s">
        <v>648</v>
      </c>
      <c r="B3204" t="s">
        <v>91</v>
      </c>
      <c r="C3204" s="2">
        <f>HYPERLINK("https://sao.dolgi.msk.ru/account/1404199524/", 1404199524)</f>
        <v>1404199524</v>
      </c>
      <c r="D3204">
        <v>0</v>
      </c>
    </row>
    <row r="3205" spans="1:4" hidden="1" x14ac:dyDescent="0.25">
      <c r="A3205" t="s">
        <v>648</v>
      </c>
      <c r="B3205" t="s">
        <v>92</v>
      </c>
      <c r="C3205" s="2">
        <f>HYPERLINK("https://sao.dolgi.msk.ru/account/1404200871/", 1404200871)</f>
        <v>1404200871</v>
      </c>
      <c r="D3205">
        <v>-4479.45</v>
      </c>
    </row>
    <row r="3206" spans="1:4" hidden="1" x14ac:dyDescent="0.25">
      <c r="A3206" t="s">
        <v>648</v>
      </c>
      <c r="B3206" t="s">
        <v>93</v>
      </c>
      <c r="C3206" s="2">
        <f>HYPERLINK("https://sao.dolgi.msk.ru/account/1404200812/", 1404200812)</f>
        <v>1404200812</v>
      </c>
      <c r="D3206">
        <v>-4684.3</v>
      </c>
    </row>
    <row r="3207" spans="1:4" x14ac:dyDescent="0.25">
      <c r="A3207" t="s">
        <v>648</v>
      </c>
      <c r="B3207" t="s">
        <v>94</v>
      </c>
      <c r="C3207" s="2">
        <f>HYPERLINK("https://sao.dolgi.msk.ru/account/1404199567/", 1404199567)</f>
        <v>1404199567</v>
      </c>
      <c r="D3207">
        <v>12733.1</v>
      </c>
    </row>
    <row r="3208" spans="1:4" hidden="1" x14ac:dyDescent="0.25">
      <c r="A3208" t="s">
        <v>648</v>
      </c>
      <c r="B3208" t="s">
        <v>95</v>
      </c>
      <c r="C3208" s="2">
        <f>HYPERLINK("https://sao.dolgi.msk.ru/account/1404201313/", 1404201313)</f>
        <v>1404201313</v>
      </c>
      <c r="D3208">
        <v>0</v>
      </c>
    </row>
    <row r="3209" spans="1:4" hidden="1" x14ac:dyDescent="0.25">
      <c r="A3209" t="s">
        <v>648</v>
      </c>
      <c r="B3209" t="s">
        <v>96</v>
      </c>
      <c r="C3209" s="2">
        <f>HYPERLINK("https://sao.dolgi.msk.ru/account/1404200927/", 1404200927)</f>
        <v>1404200927</v>
      </c>
      <c r="D3209">
        <v>0</v>
      </c>
    </row>
    <row r="3210" spans="1:4" hidden="1" x14ac:dyDescent="0.25">
      <c r="A3210" t="s">
        <v>648</v>
      </c>
      <c r="B3210" t="s">
        <v>97</v>
      </c>
      <c r="C3210" s="2">
        <f>HYPERLINK("https://sao.dolgi.msk.ru/account/1404200556/", 1404200556)</f>
        <v>1404200556</v>
      </c>
      <c r="D3210">
        <v>-6319.38</v>
      </c>
    </row>
    <row r="3211" spans="1:4" x14ac:dyDescent="0.25">
      <c r="A3211" t="s">
        <v>648</v>
      </c>
      <c r="B3211" t="s">
        <v>98</v>
      </c>
      <c r="C3211" s="2">
        <f>HYPERLINK("https://sao.dolgi.msk.ru/account/1404200206/", 1404200206)</f>
        <v>1404200206</v>
      </c>
      <c r="D3211">
        <v>97949.32</v>
      </c>
    </row>
    <row r="3212" spans="1:4" hidden="1" x14ac:dyDescent="0.25">
      <c r="A3212" t="s">
        <v>648</v>
      </c>
      <c r="B3212" t="s">
        <v>99</v>
      </c>
      <c r="C3212" s="2">
        <f>HYPERLINK("https://sao.dolgi.msk.ru/account/1404201401/", 1404201401)</f>
        <v>1404201401</v>
      </c>
      <c r="D3212">
        <v>0</v>
      </c>
    </row>
    <row r="3213" spans="1:4" hidden="1" x14ac:dyDescent="0.25">
      <c r="A3213" t="s">
        <v>648</v>
      </c>
      <c r="B3213" t="s">
        <v>100</v>
      </c>
      <c r="C3213" s="2">
        <f>HYPERLINK("https://sao.dolgi.msk.ru/account/1404200273/", 1404200273)</f>
        <v>1404200273</v>
      </c>
      <c r="D3213">
        <v>-8745.64</v>
      </c>
    </row>
    <row r="3214" spans="1:4" hidden="1" x14ac:dyDescent="0.25">
      <c r="A3214" t="s">
        <v>648</v>
      </c>
      <c r="B3214" t="s">
        <v>101</v>
      </c>
      <c r="C3214" s="2">
        <f>HYPERLINK("https://sao.dolgi.msk.ru/account/1404199647/", 1404199647)</f>
        <v>1404199647</v>
      </c>
      <c r="D3214">
        <v>0</v>
      </c>
    </row>
    <row r="3215" spans="1:4" hidden="1" x14ac:dyDescent="0.25">
      <c r="A3215" t="s">
        <v>648</v>
      </c>
      <c r="B3215" t="s">
        <v>102</v>
      </c>
      <c r="C3215" s="2">
        <f>HYPERLINK("https://sao.dolgi.msk.ru/account/1404199989/", 1404199989)</f>
        <v>1404199989</v>
      </c>
      <c r="D3215">
        <v>0</v>
      </c>
    </row>
    <row r="3216" spans="1:4" hidden="1" x14ac:dyDescent="0.25">
      <c r="A3216" t="s">
        <v>648</v>
      </c>
      <c r="B3216" t="s">
        <v>103</v>
      </c>
      <c r="C3216" s="2">
        <f>HYPERLINK("https://sao.dolgi.msk.ru/account/1404201145/", 1404201145)</f>
        <v>1404201145</v>
      </c>
      <c r="D3216">
        <v>-4816.0200000000004</v>
      </c>
    </row>
    <row r="3217" spans="1:4" hidden="1" x14ac:dyDescent="0.25">
      <c r="A3217" t="s">
        <v>648</v>
      </c>
      <c r="B3217" t="s">
        <v>104</v>
      </c>
      <c r="C3217" s="2">
        <f>HYPERLINK("https://sao.dolgi.msk.ru/account/1404200695/", 1404200695)</f>
        <v>1404200695</v>
      </c>
      <c r="D3217">
        <v>0</v>
      </c>
    </row>
    <row r="3218" spans="1:4" hidden="1" x14ac:dyDescent="0.25">
      <c r="A3218" t="s">
        <v>648</v>
      </c>
      <c r="B3218" t="s">
        <v>105</v>
      </c>
      <c r="C3218" s="2">
        <f>HYPERLINK("https://sao.dolgi.msk.ru/account/1404199583/", 1404199583)</f>
        <v>1404199583</v>
      </c>
      <c r="D3218">
        <v>-3326.64</v>
      </c>
    </row>
    <row r="3219" spans="1:4" hidden="1" x14ac:dyDescent="0.25">
      <c r="A3219" t="s">
        <v>648</v>
      </c>
      <c r="B3219" t="s">
        <v>106</v>
      </c>
      <c r="C3219" s="2">
        <f>HYPERLINK("https://sao.dolgi.msk.ru/account/1404200177/", 1404200177)</f>
        <v>1404200177</v>
      </c>
      <c r="D3219">
        <v>-11888.04</v>
      </c>
    </row>
    <row r="3220" spans="1:4" hidden="1" x14ac:dyDescent="0.25">
      <c r="A3220" t="s">
        <v>648</v>
      </c>
      <c r="B3220" t="s">
        <v>107</v>
      </c>
      <c r="C3220" s="2">
        <f>HYPERLINK("https://sao.dolgi.msk.ru/account/1404199655/", 1404199655)</f>
        <v>1404199655</v>
      </c>
      <c r="D3220">
        <v>-6818.6</v>
      </c>
    </row>
    <row r="3221" spans="1:4" hidden="1" x14ac:dyDescent="0.25">
      <c r="A3221" t="s">
        <v>648</v>
      </c>
      <c r="B3221" t="s">
        <v>108</v>
      </c>
      <c r="C3221" s="2">
        <f>HYPERLINK("https://sao.dolgi.msk.ru/account/1404199508/", 1404199508)</f>
        <v>1404199508</v>
      </c>
      <c r="D3221">
        <v>0</v>
      </c>
    </row>
    <row r="3222" spans="1:4" hidden="1" x14ac:dyDescent="0.25">
      <c r="A3222" t="s">
        <v>648</v>
      </c>
      <c r="B3222" t="s">
        <v>109</v>
      </c>
      <c r="C3222" s="2">
        <f>HYPERLINK("https://sao.dolgi.msk.ru/account/1404201321/", 1404201321)</f>
        <v>1404201321</v>
      </c>
      <c r="D3222">
        <v>0</v>
      </c>
    </row>
    <row r="3223" spans="1:4" hidden="1" x14ac:dyDescent="0.25">
      <c r="A3223" t="s">
        <v>648</v>
      </c>
      <c r="B3223" t="s">
        <v>110</v>
      </c>
      <c r="C3223" s="2">
        <f>HYPERLINK("https://sao.dolgi.msk.ru/account/1404199831/", 1404199831)</f>
        <v>1404199831</v>
      </c>
      <c r="D3223">
        <v>-7955.51</v>
      </c>
    </row>
    <row r="3224" spans="1:4" hidden="1" x14ac:dyDescent="0.25">
      <c r="A3224" t="s">
        <v>648</v>
      </c>
      <c r="B3224" t="s">
        <v>111</v>
      </c>
      <c r="C3224" s="2">
        <f>HYPERLINK("https://sao.dolgi.msk.ru/account/1404199436/", 1404199436)</f>
        <v>1404199436</v>
      </c>
      <c r="D3224">
        <v>0</v>
      </c>
    </row>
    <row r="3225" spans="1:4" hidden="1" x14ac:dyDescent="0.25">
      <c r="A3225" t="s">
        <v>648</v>
      </c>
      <c r="B3225" t="s">
        <v>111</v>
      </c>
      <c r="C3225" s="2">
        <f>HYPERLINK("https://sao.dolgi.msk.ru/account/1404200804/", 1404200804)</f>
        <v>1404200804</v>
      </c>
      <c r="D3225">
        <v>-4097.82</v>
      </c>
    </row>
    <row r="3226" spans="1:4" hidden="1" x14ac:dyDescent="0.25">
      <c r="A3226" t="s">
        <v>648</v>
      </c>
      <c r="B3226" t="s">
        <v>112</v>
      </c>
      <c r="C3226" s="2">
        <f>HYPERLINK("https://sao.dolgi.msk.ru/account/1404200214/", 1404200214)</f>
        <v>1404200214</v>
      </c>
      <c r="D3226">
        <v>-8151.66</v>
      </c>
    </row>
    <row r="3227" spans="1:4" hidden="1" x14ac:dyDescent="0.25">
      <c r="A3227" t="s">
        <v>648</v>
      </c>
      <c r="B3227" t="s">
        <v>113</v>
      </c>
      <c r="C3227" s="2">
        <f>HYPERLINK("https://sao.dolgi.msk.ru/account/1404200134/", 1404200134)</f>
        <v>1404200134</v>
      </c>
      <c r="D3227">
        <v>-2538.87</v>
      </c>
    </row>
    <row r="3228" spans="1:4" x14ac:dyDescent="0.25">
      <c r="A3228" t="s">
        <v>648</v>
      </c>
      <c r="B3228" t="s">
        <v>114</v>
      </c>
      <c r="C3228" s="2">
        <f>HYPERLINK("https://sao.dolgi.msk.ru/account/1404200433/", 1404200433)</f>
        <v>1404200433</v>
      </c>
      <c r="D3228">
        <v>4963.5600000000004</v>
      </c>
    </row>
    <row r="3229" spans="1:4" x14ac:dyDescent="0.25">
      <c r="A3229" t="s">
        <v>648</v>
      </c>
      <c r="B3229" t="s">
        <v>114</v>
      </c>
      <c r="C3229" s="2">
        <f>HYPERLINK("https://sao.dolgi.msk.ru/account/1404200468/", 1404200468)</f>
        <v>1404200468</v>
      </c>
      <c r="D3229">
        <v>2516.75</v>
      </c>
    </row>
    <row r="3230" spans="1:4" hidden="1" x14ac:dyDescent="0.25">
      <c r="A3230" t="s">
        <v>648</v>
      </c>
      <c r="B3230" t="s">
        <v>115</v>
      </c>
      <c r="C3230" s="2">
        <f>HYPERLINK("https://sao.dolgi.msk.ru/account/1404201022/", 1404201022)</f>
        <v>1404201022</v>
      </c>
      <c r="D3230">
        <v>-7807.64</v>
      </c>
    </row>
    <row r="3231" spans="1:4" x14ac:dyDescent="0.25">
      <c r="A3231" t="s">
        <v>648</v>
      </c>
      <c r="B3231" t="s">
        <v>116</v>
      </c>
      <c r="C3231" s="2">
        <f>HYPERLINK("https://sao.dolgi.msk.ru/account/1404200353/", 1404200353)</f>
        <v>1404200353</v>
      </c>
      <c r="D3231">
        <v>8458.17</v>
      </c>
    </row>
    <row r="3232" spans="1:4" hidden="1" x14ac:dyDescent="0.25">
      <c r="A3232" t="s">
        <v>648</v>
      </c>
      <c r="B3232" t="s">
        <v>117</v>
      </c>
      <c r="C3232" s="2">
        <f>HYPERLINK("https://sao.dolgi.msk.ru/account/1404199938/", 1404199938)</f>
        <v>1404199938</v>
      </c>
      <c r="D3232">
        <v>-5341.06</v>
      </c>
    </row>
    <row r="3233" spans="1:4" hidden="1" x14ac:dyDescent="0.25">
      <c r="A3233" t="s">
        <v>648</v>
      </c>
      <c r="B3233" t="s">
        <v>118</v>
      </c>
      <c r="C3233" s="2">
        <f>HYPERLINK("https://sao.dolgi.msk.ru/account/1404200492/", 1404200492)</f>
        <v>1404200492</v>
      </c>
      <c r="D3233">
        <v>-6320.84</v>
      </c>
    </row>
    <row r="3234" spans="1:4" hidden="1" x14ac:dyDescent="0.25">
      <c r="A3234" t="s">
        <v>648</v>
      </c>
      <c r="B3234" t="s">
        <v>119</v>
      </c>
      <c r="C3234" s="2">
        <f>HYPERLINK("https://sao.dolgi.msk.ru/account/1404200126/", 1404200126)</f>
        <v>1404200126</v>
      </c>
      <c r="D3234">
        <v>0</v>
      </c>
    </row>
    <row r="3235" spans="1:4" hidden="1" x14ac:dyDescent="0.25">
      <c r="A3235" t="s">
        <v>648</v>
      </c>
      <c r="B3235" t="s">
        <v>120</v>
      </c>
      <c r="C3235" s="2">
        <f>HYPERLINK("https://sao.dolgi.msk.ru/account/1404200898/", 1404200898)</f>
        <v>1404200898</v>
      </c>
      <c r="D3235">
        <v>-7232.55</v>
      </c>
    </row>
    <row r="3236" spans="1:4" x14ac:dyDescent="0.25">
      <c r="A3236" t="s">
        <v>648</v>
      </c>
      <c r="B3236" t="s">
        <v>121</v>
      </c>
      <c r="C3236" s="2">
        <f>HYPERLINK("https://sao.dolgi.msk.ru/account/1404200505/", 1404200505)</f>
        <v>1404200505</v>
      </c>
      <c r="D3236">
        <v>4915.68</v>
      </c>
    </row>
    <row r="3237" spans="1:4" hidden="1" x14ac:dyDescent="0.25">
      <c r="A3237" t="s">
        <v>648</v>
      </c>
      <c r="B3237" t="s">
        <v>122</v>
      </c>
      <c r="C3237" s="2">
        <f>HYPERLINK("https://sao.dolgi.msk.ru/account/1404200388/", 1404200388)</f>
        <v>1404200388</v>
      </c>
      <c r="D3237">
        <v>0</v>
      </c>
    </row>
    <row r="3238" spans="1:4" hidden="1" x14ac:dyDescent="0.25">
      <c r="A3238" t="s">
        <v>648</v>
      </c>
      <c r="B3238" t="s">
        <v>123</v>
      </c>
      <c r="C3238" s="2">
        <f>HYPERLINK("https://sao.dolgi.msk.ru/account/1404200396/", 1404200396)</f>
        <v>1404200396</v>
      </c>
      <c r="D3238">
        <v>-8667.2999999999993</v>
      </c>
    </row>
    <row r="3239" spans="1:4" hidden="1" x14ac:dyDescent="0.25">
      <c r="A3239" t="s">
        <v>648</v>
      </c>
      <c r="B3239" t="s">
        <v>124</v>
      </c>
      <c r="C3239" s="2">
        <f>HYPERLINK("https://sao.dolgi.msk.ru/account/1404199727/", 1404199727)</f>
        <v>1404199727</v>
      </c>
      <c r="D3239">
        <v>0</v>
      </c>
    </row>
    <row r="3240" spans="1:4" hidden="1" x14ac:dyDescent="0.25">
      <c r="A3240" t="s">
        <v>648</v>
      </c>
      <c r="B3240" t="s">
        <v>125</v>
      </c>
      <c r="C3240" s="2">
        <f>HYPERLINK("https://sao.dolgi.msk.ru/account/1404201233/", 1404201233)</f>
        <v>1404201233</v>
      </c>
      <c r="D3240">
        <v>-3045.37</v>
      </c>
    </row>
    <row r="3241" spans="1:4" hidden="1" x14ac:dyDescent="0.25">
      <c r="A3241" t="s">
        <v>648</v>
      </c>
      <c r="B3241" t="s">
        <v>126</v>
      </c>
      <c r="C3241" s="2">
        <f>HYPERLINK("https://sao.dolgi.msk.ru/account/1404201209/", 1404201209)</f>
        <v>1404201209</v>
      </c>
      <c r="D3241">
        <v>-6411.74</v>
      </c>
    </row>
    <row r="3242" spans="1:4" x14ac:dyDescent="0.25">
      <c r="A3242" t="s">
        <v>648</v>
      </c>
      <c r="B3242" t="s">
        <v>127</v>
      </c>
      <c r="C3242" s="2">
        <f>HYPERLINK("https://sao.dolgi.msk.ru/account/1404199479/", 1404199479)</f>
        <v>1404199479</v>
      </c>
      <c r="D3242">
        <v>25088.9</v>
      </c>
    </row>
    <row r="3243" spans="1:4" x14ac:dyDescent="0.25">
      <c r="A3243" t="s">
        <v>648</v>
      </c>
      <c r="B3243" t="s">
        <v>128</v>
      </c>
      <c r="C3243" s="2">
        <f>HYPERLINK("https://sao.dolgi.msk.ru/account/1404199698/", 1404199698)</f>
        <v>1404199698</v>
      </c>
      <c r="D3243">
        <v>6082.16</v>
      </c>
    </row>
    <row r="3244" spans="1:4" hidden="1" x14ac:dyDescent="0.25">
      <c r="A3244" t="s">
        <v>648</v>
      </c>
      <c r="B3244" t="s">
        <v>129</v>
      </c>
      <c r="C3244" s="2">
        <f>HYPERLINK("https://sao.dolgi.msk.ru/account/1404199663/", 1404199663)</f>
        <v>1404199663</v>
      </c>
      <c r="D3244">
        <v>-4227.3500000000004</v>
      </c>
    </row>
    <row r="3245" spans="1:4" hidden="1" x14ac:dyDescent="0.25">
      <c r="A3245" t="s">
        <v>648</v>
      </c>
      <c r="B3245" t="s">
        <v>130</v>
      </c>
      <c r="C3245" s="2">
        <f>HYPERLINK("https://sao.dolgi.msk.ru/account/1404201196/", 1404201196)</f>
        <v>1404201196</v>
      </c>
      <c r="D3245">
        <v>-6231.64</v>
      </c>
    </row>
    <row r="3246" spans="1:4" hidden="1" x14ac:dyDescent="0.25">
      <c r="A3246" t="s">
        <v>648</v>
      </c>
      <c r="B3246" t="s">
        <v>131</v>
      </c>
      <c r="C3246" s="2">
        <f>HYPERLINK("https://sao.dolgi.msk.ru/account/1404199954/", 1404199954)</f>
        <v>1404199954</v>
      </c>
      <c r="D3246">
        <v>0</v>
      </c>
    </row>
    <row r="3247" spans="1:4" hidden="1" x14ac:dyDescent="0.25">
      <c r="A3247" t="s">
        <v>648</v>
      </c>
      <c r="B3247" t="s">
        <v>132</v>
      </c>
      <c r="C3247" s="2">
        <f>HYPERLINK("https://sao.dolgi.msk.ru/account/1404200708/", 1404200708)</f>
        <v>1404200708</v>
      </c>
      <c r="D3247">
        <v>0</v>
      </c>
    </row>
    <row r="3248" spans="1:4" hidden="1" x14ac:dyDescent="0.25">
      <c r="A3248" t="s">
        <v>648</v>
      </c>
      <c r="B3248" t="s">
        <v>133</v>
      </c>
      <c r="C3248" s="2">
        <f>HYPERLINK("https://sao.dolgi.msk.ru/account/1404200548/", 1404200548)</f>
        <v>1404200548</v>
      </c>
      <c r="D3248">
        <v>-3086.16</v>
      </c>
    </row>
    <row r="3249" spans="1:4" hidden="1" x14ac:dyDescent="0.25">
      <c r="A3249" t="s">
        <v>648</v>
      </c>
      <c r="B3249" t="s">
        <v>134</v>
      </c>
      <c r="C3249" s="2">
        <f>HYPERLINK("https://sao.dolgi.msk.ru/account/1404200679/", 1404200679)</f>
        <v>1404200679</v>
      </c>
      <c r="D3249">
        <v>0</v>
      </c>
    </row>
    <row r="3250" spans="1:4" hidden="1" x14ac:dyDescent="0.25">
      <c r="A3250" t="s">
        <v>648</v>
      </c>
      <c r="B3250" t="s">
        <v>135</v>
      </c>
      <c r="C3250" s="2">
        <f>HYPERLINK("https://sao.dolgi.msk.ru/account/1404200441/", 1404200441)</f>
        <v>1404200441</v>
      </c>
      <c r="D3250">
        <v>0</v>
      </c>
    </row>
    <row r="3251" spans="1:4" hidden="1" x14ac:dyDescent="0.25">
      <c r="A3251" t="s">
        <v>648</v>
      </c>
      <c r="B3251" t="s">
        <v>136</v>
      </c>
      <c r="C3251" s="2">
        <f>HYPERLINK("https://sao.dolgi.msk.ru/account/1404199575/", 1404199575)</f>
        <v>1404199575</v>
      </c>
      <c r="D3251">
        <v>-4417.43</v>
      </c>
    </row>
    <row r="3252" spans="1:4" hidden="1" x14ac:dyDescent="0.25">
      <c r="A3252" t="s">
        <v>648</v>
      </c>
      <c r="B3252" t="s">
        <v>137</v>
      </c>
      <c r="C3252" s="2">
        <f>HYPERLINK("https://sao.dolgi.msk.ru/account/1404201241/", 1404201241)</f>
        <v>1404201241</v>
      </c>
      <c r="D3252">
        <v>-5008.32</v>
      </c>
    </row>
    <row r="3253" spans="1:4" hidden="1" x14ac:dyDescent="0.25">
      <c r="A3253" t="s">
        <v>648</v>
      </c>
      <c r="B3253" t="s">
        <v>138</v>
      </c>
      <c r="C3253" s="2">
        <f>HYPERLINK("https://sao.dolgi.msk.ru/account/1404201006/", 1404201006)</f>
        <v>1404201006</v>
      </c>
      <c r="D3253">
        <v>0</v>
      </c>
    </row>
    <row r="3254" spans="1:4" hidden="1" x14ac:dyDescent="0.25">
      <c r="A3254" t="s">
        <v>648</v>
      </c>
      <c r="B3254" t="s">
        <v>139</v>
      </c>
      <c r="C3254" s="2">
        <f>HYPERLINK("https://sao.dolgi.msk.ru/account/1404201364/", 1404201364)</f>
        <v>1404201364</v>
      </c>
      <c r="D3254">
        <v>0</v>
      </c>
    </row>
    <row r="3255" spans="1:4" hidden="1" x14ac:dyDescent="0.25">
      <c r="A3255" t="s">
        <v>648</v>
      </c>
      <c r="B3255" t="s">
        <v>140</v>
      </c>
      <c r="C3255" s="2">
        <f>HYPERLINK("https://sao.dolgi.msk.ru/account/1404199866/", 1404199866)</f>
        <v>1404199866</v>
      </c>
      <c r="D3255">
        <v>0</v>
      </c>
    </row>
    <row r="3256" spans="1:4" hidden="1" x14ac:dyDescent="0.25">
      <c r="A3256" t="s">
        <v>648</v>
      </c>
      <c r="B3256" t="s">
        <v>141</v>
      </c>
      <c r="C3256" s="2">
        <f>HYPERLINK("https://sao.dolgi.msk.ru/account/1404200783/", 1404200783)</f>
        <v>1404200783</v>
      </c>
      <c r="D3256">
        <v>-4824.1499999999996</v>
      </c>
    </row>
    <row r="3257" spans="1:4" hidden="1" x14ac:dyDescent="0.25">
      <c r="A3257" t="s">
        <v>648</v>
      </c>
      <c r="B3257" t="s">
        <v>142</v>
      </c>
      <c r="C3257" s="2">
        <f>HYPERLINK("https://sao.dolgi.msk.ru/account/1404201452/", 1404201452)</f>
        <v>1404201452</v>
      </c>
      <c r="D3257">
        <v>-4541.42</v>
      </c>
    </row>
    <row r="3258" spans="1:4" hidden="1" x14ac:dyDescent="0.25">
      <c r="A3258" t="s">
        <v>648</v>
      </c>
      <c r="B3258" t="s">
        <v>143</v>
      </c>
      <c r="C3258" s="2">
        <f>HYPERLINK("https://sao.dolgi.msk.ru/account/1404201428/", 1404201428)</f>
        <v>1404201428</v>
      </c>
      <c r="D3258">
        <v>-10027.620000000001</v>
      </c>
    </row>
    <row r="3259" spans="1:4" x14ac:dyDescent="0.25">
      <c r="A3259" t="s">
        <v>648</v>
      </c>
      <c r="B3259" t="s">
        <v>144</v>
      </c>
      <c r="C3259" s="2">
        <f>HYPERLINK("https://sao.dolgi.msk.ru/account/1404200986/", 1404200986)</f>
        <v>1404200986</v>
      </c>
      <c r="D3259">
        <v>17304.009999999998</v>
      </c>
    </row>
    <row r="3260" spans="1:4" x14ac:dyDescent="0.25">
      <c r="A3260" t="s">
        <v>648</v>
      </c>
      <c r="B3260" t="s">
        <v>145</v>
      </c>
      <c r="C3260" s="2">
        <f>HYPERLINK("https://sao.dolgi.msk.ru/account/1404200302/", 1404200302)</f>
        <v>1404200302</v>
      </c>
      <c r="D3260">
        <v>16353.56</v>
      </c>
    </row>
    <row r="3261" spans="1:4" hidden="1" x14ac:dyDescent="0.25">
      <c r="A3261" t="s">
        <v>648</v>
      </c>
      <c r="B3261" t="s">
        <v>146</v>
      </c>
      <c r="C3261" s="2">
        <f>HYPERLINK("https://sao.dolgi.msk.ru/account/1404201065/", 1404201065)</f>
        <v>1404201065</v>
      </c>
      <c r="D3261">
        <v>0</v>
      </c>
    </row>
    <row r="3262" spans="1:4" hidden="1" x14ac:dyDescent="0.25">
      <c r="A3262" t="s">
        <v>648</v>
      </c>
      <c r="B3262" t="s">
        <v>147</v>
      </c>
      <c r="C3262" s="2">
        <f>HYPERLINK("https://sao.dolgi.msk.ru/account/1404200791/", 1404200791)</f>
        <v>1404200791</v>
      </c>
      <c r="D3262">
        <v>-4709.49</v>
      </c>
    </row>
    <row r="3263" spans="1:4" x14ac:dyDescent="0.25">
      <c r="A3263" t="s">
        <v>648</v>
      </c>
      <c r="B3263" t="s">
        <v>148</v>
      </c>
      <c r="C3263" s="2">
        <f>HYPERLINK("https://sao.dolgi.msk.ru/account/1404199997/", 1404199997)</f>
        <v>1404199997</v>
      </c>
      <c r="D3263">
        <v>6360.54</v>
      </c>
    </row>
    <row r="3264" spans="1:4" hidden="1" x14ac:dyDescent="0.25">
      <c r="A3264" t="s">
        <v>648</v>
      </c>
      <c r="B3264" t="s">
        <v>149</v>
      </c>
      <c r="C3264" s="2">
        <f>HYPERLINK("https://sao.dolgi.msk.ru/account/1404200329/", 1404200329)</f>
        <v>1404200329</v>
      </c>
      <c r="D3264">
        <v>-1588.42</v>
      </c>
    </row>
    <row r="3265" spans="1:4" hidden="1" x14ac:dyDescent="0.25">
      <c r="A3265" t="s">
        <v>648</v>
      </c>
      <c r="B3265" t="s">
        <v>149</v>
      </c>
      <c r="C3265" s="2">
        <f>HYPERLINK("https://sao.dolgi.msk.ru/account/1404201081/", 1404201081)</f>
        <v>1404201081</v>
      </c>
      <c r="D3265">
        <v>-3568.79</v>
      </c>
    </row>
    <row r="3266" spans="1:4" hidden="1" x14ac:dyDescent="0.25">
      <c r="A3266" t="s">
        <v>648</v>
      </c>
      <c r="B3266" t="s">
        <v>150</v>
      </c>
      <c r="C3266" s="2">
        <f>HYPERLINK("https://sao.dolgi.msk.ru/account/1404200003/", 1404200003)</f>
        <v>1404200003</v>
      </c>
      <c r="D3266">
        <v>-4349.1899999999996</v>
      </c>
    </row>
    <row r="3267" spans="1:4" hidden="1" x14ac:dyDescent="0.25">
      <c r="A3267" t="s">
        <v>648</v>
      </c>
      <c r="B3267" t="s">
        <v>151</v>
      </c>
      <c r="C3267" s="2">
        <f>HYPERLINK("https://sao.dolgi.msk.ru/account/1404199946/", 1404199946)</f>
        <v>1404199946</v>
      </c>
      <c r="D3267">
        <v>-8929.58</v>
      </c>
    </row>
    <row r="3268" spans="1:4" hidden="1" x14ac:dyDescent="0.25">
      <c r="A3268" t="s">
        <v>648</v>
      </c>
      <c r="B3268" t="s">
        <v>152</v>
      </c>
      <c r="C3268" s="2">
        <f>HYPERLINK("https://sao.dolgi.msk.ru/account/1404200716/", 1404200716)</f>
        <v>1404200716</v>
      </c>
      <c r="D3268">
        <v>0</v>
      </c>
    </row>
    <row r="3269" spans="1:4" hidden="1" x14ac:dyDescent="0.25">
      <c r="A3269" t="s">
        <v>648</v>
      </c>
      <c r="B3269" t="s">
        <v>153</v>
      </c>
      <c r="C3269" s="2">
        <f>HYPERLINK("https://sao.dolgi.msk.ru/account/1404199719/", 1404199719)</f>
        <v>1404199719</v>
      </c>
      <c r="D3269">
        <v>0</v>
      </c>
    </row>
    <row r="3270" spans="1:4" hidden="1" x14ac:dyDescent="0.25">
      <c r="A3270" t="s">
        <v>648</v>
      </c>
      <c r="B3270" t="s">
        <v>154</v>
      </c>
      <c r="C3270" s="2">
        <f>HYPERLINK("https://sao.dolgi.msk.ru/account/1404201305/", 1404201305)</f>
        <v>1404201305</v>
      </c>
      <c r="D3270">
        <v>-3665.07</v>
      </c>
    </row>
    <row r="3271" spans="1:4" hidden="1" x14ac:dyDescent="0.25">
      <c r="A3271" t="s">
        <v>648</v>
      </c>
      <c r="B3271" t="s">
        <v>155</v>
      </c>
      <c r="C3271" s="2">
        <f>HYPERLINK("https://sao.dolgi.msk.ru/account/1404200847/", 1404200847)</f>
        <v>1404200847</v>
      </c>
      <c r="D3271">
        <v>-9233.76</v>
      </c>
    </row>
    <row r="3272" spans="1:4" hidden="1" x14ac:dyDescent="0.25">
      <c r="A3272" t="s">
        <v>648</v>
      </c>
      <c r="B3272" t="s">
        <v>156</v>
      </c>
      <c r="C3272" s="2">
        <f>HYPERLINK("https://sao.dolgi.msk.ru/account/1404201399/", 1404201399)</f>
        <v>1404201399</v>
      </c>
      <c r="D3272">
        <v>-6425.88</v>
      </c>
    </row>
    <row r="3273" spans="1:4" hidden="1" x14ac:dyDescent="0.25">
      <c r="A3273" t="s">
        <v>648</v>
      </c>
      <c r="B3273" t="s">
        <v>157</v>
      </c>
      <c r="C3273" s="2">
        <f>HYPERLINK("https://sao.dolgi.msk.ru/account/1404200169/", 1404200169)</f>
        <v>1404200169</v>
      </c>
      <c r="D3273">
        <v>-4138.5</v>
      </c>
    </row>
    <row r="3274" spans="1:4" hidden="1" x14ac:dyDescent="0.25">
      <c r="A3274" t="s">
        <v>648</v>
      </c>
      <c r="B3274" t="s">
        <v>158</v>
      </c>
      <c r="C3274" s="2">
        <f>HYPERLINK("https://sao.dolgi.msk.ru/account/1404199911/", 1404199911)</f>
        <v>1404199911</v>
      </c>
      <c r="D3274">
        <v>0</v>
      </c>
    </row>
    <row r="3275" spans="1:4" hidden="1" x14ac:dyDescent="0.25">
      <c r="A3275" t="s">
        <v>648</v>
      </c>
      <c r="B3275" t="s">
        <v>159</v>
      </c>
      <c r="C3275" s="2">
        <f>HYPERLINK("https://sao.dolgi.msk.ru/account/1404200089/", 1404200089)</f>
        <v>1404200089</v>
      </c>
      <c r="D3275">
        <v>-6253.82</v>
      </c>
    </row>
    <row r="3276" spans="1:4" hidden="1" x14ac:dyDescent="0.25">
      <c r="A3276" t="s">
        <v>648</v>
      </c>
      <c r="B3276" t="s">
        <v>160</v>
      </c>
      <c r="C3276" s="2">
        <f>HYPERLINK("https://sao.dolgi.msk.ru/account/1404200775/", 1404200775)</f>
        <v>1404200775</v>
      </c>
      <c r="D3276">
        <v>-4634.8</v>
      </c>
    </row>
    <row r="3277" spans="1:4" hidden="1" x14ac:dyDescent="0.25">
      <c r="A3277" t="s">
        <v>648</v>
      </c>
      <c r="B3277" t="s">
        <v>161</v>
      </c>
      <c r="C3277" s="2">
        <f>HYPERLINK("https://sao.dolgi.msk.ru/account/1404200046/", 1404200046)</f>
        <v>1404200046</v>
      </c>
      <c r="D3277">
        <v>0</v>
      </c>
    </row>
    <row r="3278" spans="1:4" hidden="1" x14ac:dyDescent="0.25">
      <c r="A3278" t="s">
        <v>648</v>
      </c>
      <c r="B3278" t="s">
        <v>162</v>
      </c>
      <c r="C3278" s="2">
        <f>HYPERLINK("https://sao.dolgi.msk.ru/account/1404199639/", 1404199639)</f>
        <v>1404199639</v>
      </c>
      <c r="D3278">
        <v>-5389.12</v>
      </c>
    </row>
    <row r="3279" spans="1:4" hidden="1" x14ac:dyDescent="0.25">
      <c r="A3279" t="s">
        <v>648</v>
      </c>
      <c r="B3279" t="s">
        <v>163</v>
      </c>
      <c r="C3279" s="2">
        <f>HYPERLINK("https://sao.dolgi.msk.ru/account/1404199903/", 1404199903)</f>
        <v>1404199903</v>
      </c>
      <c r="D3279">
        <v>-11287.58</v>
      </c>
    </row>
    <row r="3280" spans="1:4" hidden="1" x14ac:dyDescent="0.25">
      <c r="A3280" t="s">
        <v>648</v>
      </c>
      <c r="B3280" t="s">
        <v>164</v>
      </c>
      <c r="C3280" s="2">
        <f>HYPERLINK("https://sao.dolgi.msk.ru/account/1404201153/", 1404201153)</f>
        <v>1404201153</v>
      </c>
      <c r="D3280">
        <v>-11687.92</v>
      </c>
    </row>
    <row r="3281" spans="1:4" hidden="1" x14ac:dyDescent="0.25">
      <c r="A3281" t="s">
        <v>648</v>
      </c>
      <c r="B3281" t="s">
        <v>165</v>
      </c>
      <c r="C3281" s="2">
        <f>HYPERLINK("https://sao.dolgi.msk.ru/account/1404201137/", 1404201137)</f>
        <v>1404201137</v>
      </c>
      <c r="D3281">
        <v>0</v>
      </c>
    </row>
    <row r="3282" spans="1:4" hidden="1" x14ac:dyDescent="0.25">
      <c r="A3282" t="s">
        <v>648</v>
      </c>
      <c r="B3282" t="s">
        <v>166</v>
      </c>
      <c r="C3282" s="2">
        <f>HYPERLINK("https://sao.dolgi.msk.ru/account/1404200572/", 1404200572)</f>
        <v>1404200572</v>
      </c>
      <c r="D3282">
        <v>0</v>
      </c>
    </row>
    <row r="3283" spans="1:4" hidden="1" x14ac:dyDescent="0.25">
      <c r="A3283" t="s">
        <v>648</v>
      </c>
      <c r="B3283" t="s">
        <v>167</v>
      </c>
      <c r="C3283" s="2">
        <f>HYPERLINK("https://sao.dolgi.msk.ru/account/1404200521/", 1404200521)</f>
        <v>1404200521</v>
      </c>
      <c r="D3283">
        <v>-6706.45</v>
      </c>
    </row>
    <row r="3284" spans="1:4" hidden="1" x14ac:dyDescent="0.25">
      <c r="A3284" t="s">
        <v>648</v>
      </c>
      <c r="B3284" t="s">
        <v>168</v>
      </c>
      <c r="C3284" s="2">
        <f>HYPERLINK("https://sao.dolgi.msk.ru/account/1404201188/", 1404201188)</f>
        <v>1404201188</v>
      </c>
      <c r="D3284">
        <v>-5466.65</v>
      </c>
    </row>
    <row r="3285" spans="1:4" hidden="1" x14ac:dyDescent="0.25">
      <c r="A3285" t="s">
        <v>648</v>
      </c>
      <c r="B3285" t="s">
        <v>169</v>
      </c>
      <c r="C3285" s="2">
        <f>HYPERLINK("https://sao.dolgi.msk.ru/account/1404199532/", 1404199532)</f>
        <v>1404199532</v>
      </c>
      <c r="D3285">
        <v>-4138.5</v>
      </c>
    </row>
    <row r="3286" spans="1:4" hidden="1" x14ac:dyDescent="0.25">
      <c r="A3286" t="s">
        <v>648</v>
      </c>
      <c r="B3286" t="s">
        <v>650</v>
      </c>
      <c r="C3286" s="2">
        <f>HYPERLINK("https://sao.dolgi.msk.ru/account/1404200636/", 1404200636)</f>
        <v>1404200636</v>
      </c>
      <c r="D3286">
        <v>-12046.04</v>
      </c>
    </row>
    <row r="3287" spans="1:4" hidden="1" x14ac:dyDescent="0.25">
      <c r="A3287" t="s">
        <v>648</v>
      </c>
      <c r="B3287" t="s">
        <v>172</v>
      </c>
      <c r="C3287" s="2">
        <f>HYPERLINK("https://sao.dolgi.msk.ru/account/1404199778/", 1404199778)</f>
        <v>1404199778</v>
      </c>
      <c r="D3287">
        <v>0</v>
      </c>
    </row>
    <row r="3288" spans="1:4" hidden="1" x14ac:dyDescent="0.25">
      <c r="A3288" t="s">
        <v>648</v>
      </c>
      <c r="B3288" t="s">
        <v>173</v>
      </c>
      <c r="C3288" s="2">
        <f>HYPERLINK("https://sao.dolgi.msk.ru/account/1404201436/", 1404201436)</f>
        <v>1404201436</v>
      </c>
      <c r="D3288">
        <v>-5331.03</v>
      </c>
    </row>
    <row r="3289" spans="1:4" hidden="1" x14ac:dyDescent="0.25">
      <c r="A3289" t="s">
        <v>648</v>
      </c>
      <c r="B3289" t="s">
        <v>174</v>
      </c>
      <c r="C3289" s="2">
        <f>HYPERLINK("https://sao.dolgi.msk.ru/account/1404200943/", 1404200943)</f>
        <v>1404200943</v>
      </c>
      <c r="D3289">
        <v>0</v>
      </c>
    </row>
    <row r="3290" spans="1:4" hidden="1" x14ac:dyDescent="0.25">
      <c r="A3290" t="s">
        <v>648</v>
      </c>
      <c r="B3290" t="s">
        <v>175</v>
      </c>
      <c r="C3290" s="2">
        <f>HYPERLINK("https://sao.dolgi.msk.ru/account/1404201348/", 1404201348)</f>
        <v>1404201348</v>
      </c>
      <c r="D3290">
        <v>-5269.66</v>
      </c>
    </row>
    <row r="3291" spans="1:4" hidden="1" x14ac:dyDescent="0.25">
      <c r="A3291" t="s">
        <v>651</v>
      </c>
      <c r="B3291" t="s">
        <v>5</v>
      </c>
      <c r="C3291" s="2">
        <f>HYPERLINK("https://sao.dolgi.msk.ru/account/1404238159/", 1404238159)</f>
        <v>1404238159</v>
      </c>
      <c r="D3291">
        <v>0</v>
      </c>
    </row>
    <row r="3292" spans="1:4" hidden="1" x14ac:dyDescent="0.25">
      <c r="A3292" t="s">
        <v>651</v>
      </c>
      <c r="B3292" t="s">
        <v>6</v>
      </c>
      <c r="C3292" s="2">
        <f>HYPERLINK("https://sao.dolgi.msk.ru/account/1404239346/", 1404239346)</f>
        <v>1404239346</v>
      </c>
      <c r="D3292">
        <v>-6861.94</v>
      </c>
    </row>
    <row r="3293" spans="1:4" hidden="1" x14ac:dyDescent="0.25">
      <c r="A3293" t="s">
        <v>651</v>
      </c>
      <c r="B3293" t="s">
        <v>7</v>
      </c>
      <c r="C3293" s="2">
        <f>HYPERLINK("https://sao.dolgi.msk.ru/account/1404238001/", 1404238001)</f>
        <v>1404238001</v>
      </c>
      <c r="D3293">
        <v>0</v>
      </c>
    </row>
    <row r="3294" spans="1:4" hidden="1" x14ac:dyDescent="0.25">
      <c r="A3294" t="s">
        <v>651</v>
      </c>
      <c r="B3294" t="s">
        <v>8</v>
      </c>
      <c r="C3294" s="2">
        <f>HYPERLINK("https://sao.dolgi.msk.ru/account/1404240187/", 1404240187)</f>
        <v>1404240187</v>
      </c>
      <c r="D3294">
        <v>0</v>
      </c>
    </row>
    <row r="3295" spans="1:4" x14ac:dyDescent="0.25">
      <c r="A3295" t="s">
        <v>651</v>
      </c>
      <c r="B3295" t="s">
        <v>652</v>
      </c>
      <c r="C3295" s="2">
        <f>HYPERLINK("https://sao.dolgi.msk.ru/account/1404238482/", 1404238482)</f>
        <v>1404238482</v>
      </c>
      <c r="D3295">
        <v>18929.96</v>
      </c>
    </row>
    <row r="3296" spans="1:4" hidden="1" x14ac:dyDescent="0.25">
      <c r="A3296" t="s">
        <v>651</v>
      </c>
      <c r="B3296" t="s">
        <v>10</v>
      </c>
      <c r="C3296" s="2">
        <f>HYPERLINK("https://sao.dolgi.msk.ru/account/1404239602/", 1404239602)</f>
        <v>1404239602</v>
      </c>
      <c r="D3296">
        <v>-8757.06</v>
      </c>
    </row>
    <row r="3297" spans="1:4" hidden="1" x14ac:dyDescent="0.25">
      <c r="A3297" t="s">
        <v>651</v>
      </c>
      <c r="B3297" t="s">
        <v>11</v>
      </c>
      <c r="C3297" s="2">
        <f>HYPERLINK("https://sao.dolgi.msk.ru/account/1404240443/", 1404240443)</f>
        <v>1404240443</v>
      </c>
      <c r="D3297">
        <v>-2494.2399999999998</v>
      </c>
    </row>
    <row r="3298" spans="1:4" x14ac:dyDescent="0.25">
      <c r="A3298" t="s">
        <v>651</v>
      </c>
      <c r="B3298" t="s">
        <v>12</v>
      </c>
      <c r="C3298" s="2">
        <f>HYPERLINK("https://sao.dolgi.msk.ru/account/1404240363/", 1404240363)</f>
        <v>1404240363</v>
      </c>
      <c r="D3298">
        <v>5919.03</v>
      </c>
    </row>
    <row r="3299" spans="1:4" hidden="1" x14ac:dyDescent="0.25">
      <c r="A3299" t="s">
        <v>651</v>
      </c>
      <c r="B3299" t="s">
        <v>13</v>
      </c>
      <c r="C3299" s="2">
        <f>HYPERLINK("https://sao.dolgi.msk.ru/account/1404239047/", 1404239047)</f>
        <v>1404239047</v>
      </c>
      <c r="D3299">
        <v>-7842.02</v>
      </c>
    </row>
    <row r="3300" spans="1:4" x14ac:dyDescent="0.25">
      <c r="A3300" t="s">
        <v>651</v>
      </c>
      <c r="B3300" t="s">
        <v>15</v>
      </c>
      <c r="C3300" s="2">
        <f>HYPERLINK("https://sao.dolgi.msk.ru/account/1404239258/", 1404239258)</f>
        <v>1404239258</v>
      </c>
      <c r="D3300">
        <v>30359.78</v>
      </c>
    </row>
    <row r="3301" spans="1:4" hidden="1" x14ac:dyDescent="0.25">
      <c r="A3301" t="s">
        <v>651</v>
      </c>
      <c r="B3301" t="s">
        <v>16</v>
      </c>
      <c r="C3301" s="2">
        <f>HYPERLINK("https://sao.dolgi.msk.ru/account/1404240371/", 1404240371)</f>
        <v>1404240371</v>
      </c>
      <c r="D3301">
        <v>0</v>
      </c>
    </row>
    <row r="3302" spans="1:4" hidden="1" x14ac:dyDescent="0.25">
      <c r="A3302" t="s">
        <v>651</v>
      </c>
      <c r="B3302" t="s">
        <v>17</v>
      </c>
      <c r="C3302" s="2">
        <f>HYPERLINK("https://sao.dolgi.msk.ru/account/1404240312/", 1404240312)</f>
        <v>1404240312</v>
      </c>
      <c r="D3302">
        <v>-2363</v>
      </c>
    </row>
    <row r="3303" spans="1:4" x14ac:dyDescent="0.25">
      <c r="A3303" t="s">
        <v>651</v>
      </c>
      <c r="B3303" t="s">
        <v>18</v>
      </c>
      <c r="C3303" s="2">
        <f>HYPERLINK("https://sao.dolgi.msk.ru/account/1404238714/", 1404238714)</f>
        <v>1404238714</v>
      </c>
      <c r="D3303">
        <v>26891.58</v>
      </c>
    </row>
    <row r="3304" spans="1:4" x14ac:dyDescent="0.25">
      <c r="A3304" t="s">
        <v>651</v>
      </c>
      <c r="B3304" t="s">
        <v>19</v>
      </c>
      <c r="C3304" s="2">
        <f>HYPERLINK("https://sao.dolgi.msk.ru/account/1404238095/", 1404238095)</f>
        <v>1404238095</v>
      </c>
      <c r="D3304">
        <v>20401.71</v>
      </c>
    </row>
    <row r="3305" spans="1:4" hidden="1" x14ac:dyDescent="0.25">
      <c r="A3305" t="s">
        <v>651</v>
      </c>
      <c r="B3305" t="s">
        <v>20</v>
      </c>
      <c r="C3305" s="2">
        <f>HYPERLINK("https://sao.dolgi.msk.ru/account/1404240398/", 1404240398)</f>
        <v>1404240398</v>
      </c>
      <c r="D3305">
        <v>0</v>
      </c>
    </row>
    <row r="3306" spans="1:4" hidden="1" x14ac:dyDescent="0.25">
      <c r="A3306" t="s">
        <v>651</v>
      </c>
      <c r="B3306" t="s">
        <v>21</v>
      </c>
      <c r="C3306" s="2">
        <f>HYPERLINK("https://sao.dolgi.msk.ru/account/1404239864/", 1404239864)</f>
        <v>1404239864</v>
      </c>
      <c r="D3306">
        <v>-3253.4</v>
      </c>
    </row>
    <row r="3307" spans="1:4" hidden="1" x14ac:dyDescent="0.25">
      <c r="A3307" t="s">
        <v>651</v>
      </c>
      <c r="B3307" t="s">
        <v>22</v>
      </c>
      <c r="C3307" s="2">
        <f>HYPERLINK("https://sao.dolgi.msk.ru/account/1404239661/", 1404239661)</f>
        <v>1404239661</v>
      </c>
      <c r="D3307">
        <v>-7959.35</v>
      </c>
    </row>
    <row r="3308" spans="1:4" hidden="1" x14ac:dyDescent="0.25">
      <c r="A3308" t="s">
        <v>651</v>
      </c>
      <c r="B3308" t="s">
        <v>23</v>
      </c>
      <c r="C3308" s="2">
        <f>HYPERLINK("https://sao.dolgi.msk.ru/account/1404238925/", 1404238925)</f>
        <v>1404238925</v>
      </c>
      <c r="D3308">
        <v>-6773.43</v>
      </c>
    </row>
    <row r="3309" spans="1:4" hidden="1" x14ac:dyDescent="0.25">
      <c r="A3309" t="s">
        <v>651</v>
      </c>
      <c r="B3309" t="s">
        <v>24</v>
      </c>
      <c r="C3309" s="2">
        <f>HYPERLINK("https://sao.dolgi.msk.ru/account/1404239987/", 1404239987)</f>
        <v>1404239987</v>
      </c>
      <c r="D3309">
        <v>-3573.57</v>
      </c>
    </row>
    <row r="3310" spans="1:4" hidden="1" x14ac:dyDescent="0.25">
      <c r="A3310" t="s">
        <v>651</v>
      </c>
      <c r="B3310" t="s">
        <v>25</v>
      </c>
      <c r="C3310" s="2">
        <f>HYPERLINK("https://sao.dolgi.msk.ru/account/1404240494/", 1404240494)</f>
        <v>1404240494</v>
      </c>
      <c r="D3310">
        <v>-7191.97</v>
      </c>
    </row>
    <row r="3311" spans="1:4" x14ac:dyDescent="0.25">
      <c r="A3311" t="s">
        <v>651</v>
      </c>
      <c r="B3311" t="s">
        <v>26</v>
      </c>
      <c r="C3311" s="2">
        <f>HYPERLINK("https://sao.dolgi.msk.ru/account/1404239303/", 1404239303)</f>
        <v>1404239303</v>
      </c>
      <c r="D3311">
        <v>9620.6200000000008</v>
      </c>
    </row>
    <row r="3312" spans="1:4" hidden="1" x14ac:dyDescent="0.25">
      <c r="A3312" t="s">
        <v>651</v>
      </c>
      <c r="B3312" t="s">
        <v>27</v>
      </c>
      <c r="C3312" s="2">
        <f>HYPERLINK("https://sao.dolgi.msk.ru/account/1404240507/", 1404240507)</f>
        <v>1404240507</v>
      </c>
      <c r="D3312">
        <v>0</v>
      </c>
    </row>
    <row r="3313" spans="1:4" hidden="1" x14ac:dyDescent="0.25">
      <c r="A3313" t="s">
        <v>651</v>
      </c>
      <c r="B3313" t="s">
        <v>28</v>
      </c>
      <c r="C3313" s="2">
        <f>HYPERLINK("https://sao.dolgi.msk.ru/account/1404238343/", 1404238343)</f>
        <v>1404238343</v>
      </c>
      <c r="D3313">
        <v>-7902.4</v>
      </c>
    </row>
    <row r="3314" spans="1:4" hidden="1" x14ac:dyDescent="0.25">
      <c r="A3314" t="s">
        <v>651</v>
      </c>
      <c r="B3314" t="s">
        <v>29</v>
      </c>
      <c r="C3314" s="2">
        <f>HYPERLINK("https://sao.dolgi.msk.ru/account/1404239266/", 1404239266)</f>
        <v>1404239266</v>
      </c>
      <c r="D3314">
        <v>-8243.56</v>
      </c>
    </row>
    <row r="3315" spans="1:4" hidden="1" x14ac:dyDescent="0.25">
      <c r="A3315" t="s">
        <v>651</v>
      </c>
      <c r="B3315" t="s">
        <v>30</v>
      </c>
      <c r="C3315" s="2">
        <f>HYPERLINK("https://sao.dolgi.msk.ru/account/1404237949/", 1404237949)</f>
        <v>1404237949</v>
      </c>
      <c r="D3315">
        <v>0</v>
      </c>
    </row>
    <row r="3316" spans="1:4" hidden="1" x14ac:dyDescent="0.25">
      <c r="A3316" t="s">
        <v>651</v>
      </c>
      <c r="B3316" t="s">
        <v>31</v>
      </c>
      <c r="C3316" s="2">
        <f>HYPERLINK("https://sao.dolgi.msk.ru/account/1404238511/", 1404238511)</f>
        <v>1404238511</v>
      </c>
      <c r="D3316">
        <v>-8271.43</v>
      </c>
    </row>
    <row r="3317" spans="1:4" hidden="1" x14ac:dyDescent="0.25">
      <c r="A3317" t="s">
        <v>651</v>
      </c>
      <c r="B3317" t="s">
        <v>32</v>
      </c>
      <c r="C3317" s="2">
        <f>HYPERLINK("https://sao.dolgi.msk.ru/account/1404238255/", 1404238255)</f>
        <v>1404238255</v>
      </c>
      <c r="D3317">
        <v>-8014.9</v>
      </c>
    </row>
    <row r="3318" spans="1:4" hidden="1" x14ac:dyDescent="0.25">
      <c r="A3318" t="s">
        <v>651</v>
      </c>
      <c r="B3318" t="s">
        <v>33</v>
      </c>
      <c r="C3318" s="2">
        <f>HYPERLINK("https://sao.dolgi.msk.ru/account/1404239397/", 1404239397)</f>
        <v>1404239397</v>
      </c>
      <c r="D3318">
        <v>-4151.8100000000004</v>
      </c>
    </row>
    <row r="3319" spans="1:4" hidden="1" x14ac:dyDescent="0.25">
      <c r="A3319" t="s">
        <v>651</v>
      </c>
      <c r="B3319" t="s">
        <v>34</v>
      </c>
      <c r="C3319" s="2">
        <f>HYPERLINK("https://sao.dolgi.msk.ru/account/1404238933/", 1404238933)</f>
        <v>1404238933</v>
      </c>
      <c r="D3319">
        <v>-5987.06</v>
      </c>
    </row>
    <row r="3320" spans="1:4" hidden="1" x14ac:dyDescent="0.25">
      <c r="A3320" t="s">
        <v>651</v>
      </c>
      <c r="B3320" t="s">
        <v>35</v>
      </c>
      <c r="C3320" s="2">
        <f>HYPERLINK("https://sao.dolgi.msk.ru/account/1404239338/", 1404239338)</f>
        <v>1404239338</v>
      </c>
      <c r="D3320">
        <v>0</v>
      </c>
    </row>
    <row r="3321" spans="1:4" hidden="1" x14ac:dyDescent="0.25">
      <c r="A3321" t="s">
        <v>651</v>
      </c>
      <c r="B3321" t="s">
        <v>36</v>
      </c>
      <c r="C3321" s="2">
        <f>HYPERLINK("https://sao.dolgi.msk.ru/account/1404239274/", 1404239274)</f>
        <v>1404239274</v>
      </c>
      <c r="D3321">
        <v>0</v>
      </c>
    </row>
    <row r="3322" spans="1:4" hidden="1" x14ac:dyDescent="0.25">
      <c r="A3322" t="s">
        <v>651</v>
      </c>
      <c r="B3322" t="s">
        <v>37</v>
      </c>
      <c r="C3322" s="2">
        <f>HYPERLINK("https://sao.dolgi.msk.ru/account/1404240064/", 1404240064)</f>
        <v>1404240064</v>
      </c>
      <c r="D3322">
        <v>0</v>
      </c>
    </row>
    <row r="3323" spans="1:4" x14ac:dyDescent="0.25">
      <c r="A3323" t="s">
        <v>651</v>
      </c>
      <c r="B3323" t="s">
        <v>38</v>
      </c>
      <c r="C3323" s="2">
        <f>HYPERLINK("https://sao.dolgi.msk.ru/account/1404237957/", 1404237957)</f>
        <v>1404237957</v>
      </c>
      <c r="D3323">
        <v>15778.1</v>
      </c>
    </row>
    <row r="3324" spans="1:4" hidden="1" x14ac:dyDescent="0.25">
      <c r="A3324" t="s">
        <v>651</v>
      </c>
      <c r="B3324" t="s">
        <v>39</v>
      </c>
      <c r="C3324" s="2">
        <f>HYPERLINK("https://sao.dolgi.msk.ru/account/1404238175/", 1404238175)</f>
        <v>1404238175</v>
      </c>
      <c r="D3324">
        <v>0</v>
      </c>
    </row>
    <row r="3325" spans="1:4" hidden="1" x14ac:dyDescent="0.25">
      <c r="A3325" t="s">
        <v>651</v>
      </c>
      <c r="B3325" t="s">
        <v>40</v>
      </c>
      <c r="C3325" s="2">
        <f>HYPERLINK("https://sao.dolgi.msk.ru/account/1404240072/", 1404240072)</f>
        <v>1404240072</v>
      </c>
      <c r="D3325">
        <v>-5380.01</v>
      </c>
    </row>
    <row r="3326" spans="1:4" hidden="1" x14ac:dyDescent="0.25">
      <c r="A3326" t="s">
        <v>651</v>
      </c>
      <c r="B3326" t="s">
        <v>41</v>
      </c>
      <c r="C3326" s="2">
        <f>HYPERLINK("https://sao.dolgi.msk.ru/account/1404238503/", 1404238503)</f>
        <v>1404238503</v>
      </c>
      <c r="D3326">
        <v>0</v>
      </c>
    </row>
    <row r="3327" spans="1:4" hidden="1" x14ac:dyDescent="0.25">
      <c r="A3327" t="s">
        <v>651</v>
      </c>
      <c r="B3327" t="s">
        <v>42</v>
      </c>
      <c r="C3327" s="2">
        <f>HYPERLINK("https://sao.dolgi.msk.ru/account/1404238722/", 1404238722)</f>
        <v>1404238722</v>
      </c>
      <c r="D3327">
        <v>-2262.4299999999998</v>
      </c>
    </row>
    <row r="3328" spans="1:4" hidden="1" x14ac:dyDescent="0.25">
      <c r="A3328" t="s">
        <v>651</v>
      </c>
      <c r="B3328" t="s">
        <v>43</v>
      </c>
      <c r="C3328" s="2">
        <f>HYPERLINK("https://sao.dolgi.msk.ru/account/1404237965/", 1404237965)</f>
        <v>1404237965</v>
      </c>
      <c r="D3328">
        <v>0</v>
      </c>
    </row>
    <row r="3329" spans="1:4" hidden="1" x14ac:dyDescent="0.25">
      <c r="A3329" t="s">
        <v>651</v>
      </c>
      <c r="B3329" t="s">
        <v>44</v>
      </c>
      <c r="C3329" s="2">
        <f>HYPERLINK("https://sao.dolgi.msk.ru/account/1404238183/", 1404238183)</f>
        <v>1404238183</v>
      </c>
      <c r="D3329">
        <v>0</v>
      </c>
    </row>
    <row r="3330" spans="1:4" hidden="1" x14ac:dyDescent="0.25">
      <c r="A3330" t="s">
        <v>651</v>
      </c>
      <c r="B3330" t="s">
        <v>45</v>
      </c>
      <c r="C3330" s="2">
        <f>HYPERLINK("https://sao.dolgi.msk.ru/account/1404239709/", 1404239709)</f>
        <v>1404239709</v>
      </c>
      <c r="D3330">
        <v>-4504.6099999999997</v>
      </c>
    </row>
    <row r="3331" spans="1:4" x14ac:dyDescent="0.25">
      <c r="A3331" t="s">
        <v>651</v>
      </c>
      <c r="B3331" t="s">
        <v>46</v>
      </c>
      <c r="C3331" s="2">
        <f>HYPERLINK("https://sao.dolgi.msk.ru/account/1404239848/", 1404239848)</f>
        <v>1404239848</v>
      </c>
      <c r="D3331">
        <v>4323.2299999999996</v>
      </c>
    </row>
    <row r="3332" spans="1:4" hidden="1" x14ac:dyDescent="0.25">
      <c r="A3332" t="s">
        <v>651</v>
      </c>
      <c r="B3332" t="s">
        <v>47</v>
      </c>
      <c r="C3332" s="2">
        <f>HYPERLINK("https://sao.dolgi.msk.ru/account/1404238191/", 1404238191)</f>
        <v>1404238191</v>
      </c>
      <c r="D3332">
        <v>-7435.12</v>
      </c>
    </row>
    <row r="3333" spans="1:4" hidden="1" x14ac:dyDescent="0.25">
      <c r="A3333" t="s">
        <v>651</v>
      </c>
      <c r="B3333" t="s">
        <v>48</v>
      </c>
      <c r="C3333" s="2">
        <f>HYPERLINK("https://sao.dolgi.msk.ru/account/1404240603/", 1404240603)</f>
        <v>1404240603</v>
      </c>
      <c r="D3333">
        <v>0</v>
      </c>
    </row>
    <row r="3334" spans="1:4" hidden="1" x14ac:dyDescent="0.25">
      <c r="A3334" t="s">
        <v>651</v>
      </c>
      <c r="B3334" t="s">
        <v>49</v>
      </c>
      <c r="C3334" s="2">
        <f>HYPERLINK("https://sao.dolgi.msk.ru/account/1404238554/", 1404238554)</f>
        <v>1404238554</v>
      </c>
      <c r="D3334">
        <v>0</v>
      </c>
    </row>
    <row r="3335" spans="1:4" hidden="1" x14ac:dyDescent="0.25">
      <c r="A3335" t="s">
        <v>651</v>
      </c>
      <c r="B3335" t="s">
        <v>50</v>
      </c>
      <c r="C3335" s="2">
        <f>HYPERLINK("https://sao.dolgi.msk.ru/account/1404240654/", 1404240654)</f>
        <v>1404240654</v>
      </c>
      <c r="D3335">
        <v>-6967.15</v>
      </c>
    </row>
    <row r="3336" spans="1:4" hidden="1" x14ac:dyDescent="0.25">
      <c r="A3336" t="s">
        <v>651</v>
      </c>
      <c r="B3336" t="s">
        <v>51</v>
      </c>
      <c r="C3336" s="2">
        <f>HYPERLINK("https://sao.dolgi.msk.ru/account/1404240339/", 1404240339)</f>
        <v>1404240339</v>
      </c>
      <c r="D3336">
        <v>-17717.740000000002</v>
      </c>
    </row>
    <row r="3337" spans="1:4" hidden="1" x14ac:dyDescent="0.25">
      <c r="A3337" t="s">
        <v>651</v>
      </c>
      <c r="B3337" t="s">
        <v>52</v>
      </c>
      <c r="C3337" s="2">
        <f>HYPERLINK("https://sao.dolgi.msk.ru/account/1404240013/", 1404240013)</f>
        <v>1404240013</v>
      </c>
      <c r="D3337">
        <v>-5142.42</v>
      </c>
    </row>
    <row r="3338" spans="1:4" x14ac:dyDescent="0.25">
      <c r="A3338" t="s">
        <v>651</v>
      </c>
      <c r="B3338" t="s">
        <v>53</v>
      </c>
      <c r="C3338" s="2">
        <f>HYPERLINK("https://sao.dolgi.msk.ru/account/1404238984/", 1404238984)</f>
        <v>1404238984</v>
      </c>
      <c r="D3338">
        <v>49887.519999999997</v>
      </c>
    </row>
    <row r="3339" spans="1:4" hidden="1" x14ac:dyDescent="0.25">
      <c r="A3339" t="s">
        <v>651</v>
      </c>
      <c r="B3339" t="s">
        <v>54</v>
      </c>
      <c r="C3339" s="2">
        <f>HYPERLINK("https://sao.dolgi.msk.ru/account/1404238845/", 1404238845)</f>
        <v>1404238845</v>
      </c>
      <c r="D3339">
        <v>-5401.6</v>
      </c>
    </row>
    <row r="3340" spans="1:4" hidden="1" x14ac:dyDescent="0.25">
      <c r="A3340" t="s">
        <v>651</v>
      </c>
      <c r="B3340" t="s">
        <v>55</v>
      </c>
      <c r="C3340" s="2">
        <f>HYPERLINK("https://sao.dolgi.msk.ru/account/1404240291/", 1404240291)</f>
        <v>1404240291</v>
      </c>
      <c r="D3340">
        <v>-4925.16</v>
      </c>
    </row>
    <row r="3341" spans="1:4" hidden="1" x14ac:dyDescent="0.25">
      <c r="A3341" t="s">
        <v>651</v>
      </c>
      <c r="B3341" t="s">
        <v>56</v>
      </c>
      <c r="C3341" s="2">
        <f>HYPERLINK("https://sao.dolgi.msk.ru/account/1404239952/", 1404239952)</f>
        <v>1404239952</v>
      </c>
      <c r="D3341">
        <v>-5368.97</v>
      </c>
    </row>
    <row r="3342" spans="1:4" hidden="1" x14ac:dyDescent="0.25">
      <c r="A3342" t="s">
        <v>651</v>
      </c>
      <c r="B3342" t="s">
        <v>57</v>
      </c>
      <c r="C3342" s="2">
        <f>HYPERLINK("https://sao.dolgi.msk.ru/account/1404238562/", 1404238562)</f>
        <v>1404238562</v>
      </c>
      <c r="D3342">
        <v>-4845.8599999999997</v>
      </c>
    </row>
    <row r="3343" spans="1:4" hidden="1" x14ac:dyDescent="0.25">
      <c r="A3343" t="s">
        <v>651</v>
      </c>
      <c r="B3343" t="s">
        <v>58</v>
      </c>
      <c r="C3343" s="2">
        <f>HYPERLINK("https://sao.dolgi.msk.ru/account/1404239928/", 1404239928)</f>
        <v>1404239928</v>
      </c>
      <c r="D3343">
        <v>-6427.42</v>
      </c>
    </row>
    <row r="3344" spans="1:4" hidden="1" x14ac:dyDescent="0.25">
      <c r="A3344" t="s">
        <v>651</v>
      </c>
      <c r="B3344" t="s">
        <v>59</v>
      </c>
      <c r="C3344" s="2">
        <f>HYPERLINK("https://sao.dolgi.msk.ru/account/1404239055/", 1404239055)</f>
        <v>1404239055</v>
      </c>
      <c r="D3344">
        <v>-8701.6</v>
      </c>
    </row>
    <row r="3345" spans="1:4" x14ac:dyDescent="0.25">
      <c r="A3345" t="s">
        <v>651</v>
      </c>
      <c r="B3345" t="s">
        <v>60</v>
      </c>
      <c r="C3345" s="2">
        <f>HYPERLINK("https://sao.dolgi.msk.ru/account/1404238757/", 1404238757)</f>
        <v>1404238757</v>
      </c>
      <c r="D3345">
        <v>6906.84</v>
      </c>
    </row>
    <row r="3346" spans="1:4" hidden="1" x14ac:dyDescent="0.25">
      <c r="A3346" t="s">
        <v>651</v>
      </c>
      <c r="B3346" t="s">
        <v>61</v>
      </c>
      <c r="C3346" s="2">
        <f>HYPERLINK("https://sao.dolgi.msk.ru/account/1404237922/", 1404237922)</f>
        <v>1404237922</v>
      </c>
      <c r="D3346">
        <v>0</v>
      </c>
    </row>
    <row r="3347" spans="1:4" x14ac:dyDescent="0.25">
      <c r="A3347" t="s">
        <v>651</v>
      </c>
      <c r="B3347" t="s">
        <v>653</v>
      </c>
      <c r="C3347" s="2">
        <f>HYPERLINK("https://sao.dolgi.msk.ru/account/1404239418/", 1404239418)</f>
        <v>1404239418</v>
      </c>
      <c r="D3347">
        <v>21658.68</v>
      </c>
    </row>
    <row r="3348" spans="1:4" hidden="1" x14ac:dyDescent="0.25">
      <c r="A3348" t="s">
        <v>651</v>
      </c>
      <c r="B3348" t="s">
        <v>63</v>
      </c>
      <c r="C3348" s="2">
        <f>HYPERLINK("https://sao.dolgi.msk.ru/account/1404239688/", 1404239688)</f>
        <v>1404239688</v>
      </c>
      <c r="D3348">
        <v>-4988.76</v>
      </c>
    </row>
    <row r="3349" spans="1:4" hidden="1" x14ac:dyDescent="0.25">
      <c r="A3349" t="s">
        <v>651</v>
      </c>
      <c r="B3349" t="s">
        <v>64</v>
      </c>
      <c r="C3349" s="2">
        <f>HYPERLINK("https://sao.dolgi.msk.ru/account/1404238765/", 1404238765)</f>
        <v>1404238765</v>
      </c>
      <c r="D3349">
        <v>-7658.78</v>
      </c>
    </row>
    <row r="3350" spans="1:4" x14ac:dyDescent="0.25">
      <c r="A3350" t="s">
        <v>651</v>
      </c>
      <c r="B3350" t="s">
        <v>65</v>
      </c>
      <c r="C3350" s="2">
        <f>HYPERLINK("https://sao.dolgi.msk.ru/account/1404238124/", 1404238124)</f>
        <v>1404238124</v>
      </c>
      <c r="D3350">
        <v>24802.79</v>
      </c>
    </row>
    <row r="3351" spans="1:4" hidden="1" x14ac:dyDescent="0.25">
      <c r="A3351" t="s">
        <v>651</v>
      </c>
      <c r="B3351" t="s">
        <v>66</v>
      </c>
      <c r="C3351" s="2">
        <f>HYPERLINK("https://sao.dolgi.msk.ru/account/1404238589/", 1404238589)</f>
        <v>1404238589</v>
      </c>
      <c r="D3351">
        <v>-3120.4</v>
      </c>
    </row>
    <row r="3352" spans="1:4" hidden="1" x14ac:dyDescent="0.25">
      <c r="A3352" t="s">
        <v>651</v>
      </c>
      <c r="B3352" t="s">
        <v>67</v>
      </c>
      <c r="C3352" s="2">
        <f>HYPERLINK("https://sao.dolgi.msk.ru/account/1404238853/", 1404238853)</f>
        <v>1404238853</v>
      </c>
      <c r="D3352">
        <v>0</v>
      </c>
    </row>
    <row r="3353" spans="1:4" hidden="1" x14ac:dyDescent="0.25">
      <c r="A3353" t="s">
        <v>651</v>
      </c>
      <c r="B3353" t="s">
        <v>68</v>
      </c>
      <c r="C3353" s="2">
        <f>HYPERLINK("https://sao.dolgi.msk.ru/account/1404238677/", 1404238677)</f>
        <v>1404238677</v>
      </c>
      <c r="D3353">
        <v>-8571.91</v>
      </c>
    </row>
    <row r="3354" spans="1:4" hidden="1" x14ac:dyDescent="0.25">
      <c r="A3354" t="s">
        <v>651</v>
      </c>
      <c r="B3354" t="s">
        <v>69</v>
      </c>
      <c r="C3354" s="2">
        <f>HYPERLINK("https://sao.dolgi.msk.ru/account/1404240638/", 1404240638)</f>
        <v>1404240638</v>
      </c>
      <c r="D3354">
        <v>-2123.02</v>
      </c>
    </row>
    <row r="3355" spans="1:4" hidden="1" x14ac:dyDescent="0.25">
      <c r="A3355" t="s">
        <v>651</v>
      </c>
      <c r="B3355" t="s">
        <v>70</v>
      </c>
      <c r="C3355" s="2">
        <f>HYPERLINK("https://sao.dolgi.msk.ru/account/1404239194/", 1404239194)</f>
        <v>1404239194</v>
      </c>
      <c r="D3355">
        <v>-8083.04</v>
      </c>
    </row>
    <row r="3356" spans="1:4" x14ac:dyDescent="0.25">
      <c r="A3356" t="s">
        <v>651</v>
      </c>
      <c r="B3356" t="s">
        <v>71</v>
      </c>
      <c r="C3356" s="2">
        <f>HYPERLINK("https://sao.dolgi.msk.ru/account/1404239282/", 1404239282)</f>
        <v>1404239282</v>
      </c>
      <c r="D3356">
        <v>3870.17</v>
      </c>
    </row>
    <row r="3357" spans="1:4" hidden="1" x14ac:dyDescent="0.25">
      <c r="A3357" t="s">
        <v>651</v>
      </c>
      <c r="B3357" t="s">
        <v>72</v>
      </c>
      <c r="C3357" s="2">
        <f>HYPERLINK("https://sao.dolgi.msk.ru/account/1404240574/", 1404240574)</f>
        <v>1404240574</v>
      </c>
      <c r="D3357">
        <v>-2788.39</v>
      </c>
    </row>
    <row r="3358" spans="1:4" hidden="1" x14ac:dyDescent="0.25">
      <c r="A3358" t="s">
        <v>651</v>
      </c>
      <c r="B3358" t="s">
        <v>73</v>
      </c>
      <c r="C3358" s="2">
        <f>HYPERLINK("https://sao.dolgi.msk.ru/account/1404240195/", 1404240195)</f>
        <v>1404240195</v>
      </c>
      <c r="D3358">
        <v>-6844.13</v>
      </c>
    </row>
    <row r="3359" spans="1:4" hidden="1" x14ac:dyDescent="0.25">
      <c r="A3359" t="s">
        <v>651</v>
      </c>
      <c r="B3359" t="s">
        <v>74</v>
      </c>
      <c r="C3359" s="2">
        <f>HYPERLINK("https://sao.dolgi.msk.ru/account/1404240304/", 1404240304)</f>
        <v>1404240304</v>
      </c>
      <c r="D3359">
        <v>0</v>
      </c>
    </row>
    <row r="3360" spans="1:4" hidden="1" x14ac:dyDescent="0.25">
      <c r="A3360" t="s">
        <v>651</v>
      </c>
      <c r="B3360" t="s">
        <v>75</v>
      </c>
      <c r="C3360" s="2">
        <f>HYPERLINK("https://sao.dolgi.msk.ru/account/1404239979/", 1404239979)</f>
        <v>1404239979</v>
      </c>
      <c r="D3360">
        <v>0</v>
      </c>
    </row>
    <row r="3361" spans="1:4" hidden="1" x14ac:dyDescent="0.25">
      <c r="A3361" t="s">
        <v>651</v>
      </c>
      <c r="B3361" t="s">
        <v>76</v>
      </c>
      <c r="C3361" s="2">
        <f>HYPERLINK("https://sao.dolgi.msk.ru/account/1404238108/", 1404238108)</f>
        <v>1404238108</v>
      </c>
      <c r="D3361">
        <v>-7742.78</v>
      </c>
    </row>
    <row r="3362" spans="1:4" hidden="1" x14ac:dyDescent="0.25">
      <c r="A3362" t="s">
        <v>651</v>
      </c>
      <c r="B3362" t="s">
        <v>77</v>
      </c>
      <c r="C3362" s="2">
        <f>HYPERLINK("https://sao.dolgi.msk.ru/account/1404238749/", 1404238749)</f>
        <v>1404238749</v>
      </c>
      <c r="D3362">
        <v>-2919.75</v>
      </c>
    </row>
    <row r="3363" spans="1:4" x14ac:dyDescent="0.25">
      <c r="A3363" t="s">
        <v>651</v>
      </c>
      <c r="B3363" t="s">
        <v>78</v>
      </c>
      <c r="C3363" s="2">
        <f>HYPERLINK("https://sao.dolgi.msk.ru/account/1404239485/", 1404239485)</f>
        <v>1404239485</v>
      </c>
      <c r="D3363">
        <v>8.99</v>
      </c>
    </row>
    <row r="3364" spans="1:4" hidden="1" x14ac:dyDescent="0.25">
      <c r="A3364" t="s">
        <v>651</v>
      </c>
      <c r="B3364" t="s">
        <v>79</v>
      </c>
      <c r="C3364" s="2">
        <f>HYPERLINK("https://sao.dolgi.msk.ru/account/1404239901/", 1404239901)</f>
        <v>1404239901</v>
      </c>
      <c r="D3364">
        <v>-9151.86</v>
      </c>
    </row>
    <row r="3365" spans="1:4" hidden="1" x14ac:dyDescent="0.25">
      <c r="A3365" t="s">
        <v>651</v>
      </c>
      <c r="B3365" t="s">
        <v>80</v>
      </c>
      <c r="C3365" s="2">
        <f>HYPERLINK("https://sao.dolgi.msk.ru/account/1404238474/", 1404238474)</f>
        <v>1404238474</v>
      </c>
      <c r="D3365">
        <v>-2917.93</v>
      </c>
    </row>
    <row r="3366" spans="1:4" hidden="1" x14ac:dyDescent="0.25">
      <c r="A3366" t="s">
        <v>651</v>
      </c>
      <c r="B3366" t="s">
        <v>80</v>
      </c>
      <c r="C3366" s="2">
        <f>HYPERLINK("https://sao.dolgi.msk.ru/account/1404240275/", 1404240275)</f>
        <v>1404240275</v>
      </c>
      <c r="D3366">
        <v>-1371.17</v>
      </c>
    </row>
    <row r="3367" spans="1:4" hidden="1" x14ac:dyDescent="0.25">
      <c r="A3367" t="s">
        <v>651</v>
      </c>
      <c r="B3367" t="s">
        <v>81</v>
      </c>
      <c r="C3367" s="2">
        <f>HYPERLINK("https://sao.dolgi.msk.ru/account/1404239151/", 1404239151)</f>
        <v>1404239151</v>
      </c>
      <c r="D3367">
        <v>-5067.43</v>
      </c>
    </row>
    <row r="3368" spans="1:4" hidden="1" x14ac:dyDescent="0.25">
      <c r="A3368" t="s">
        <v>651</v>
      </c>
      <c r="B3368" t="s">
        <v>82</v>
      </c>
      <c r="C3368" s="2">
        <f>HYPERLINK("https://sao.dolgi.msk.ru/account/1404240435/", 1404240435)</f>
        <v>1404240435</v>
      </c>
      <c r="D3368">
        <v>-7830.15</v>
      </c>
    </row>
    <row r="3369" spans="1:4" hidden="1" x14ac:dyDescent="0.25">
      <c r="A3369" t="s">
        <v>651</v>
      </c>
      <c r="B3369" t="s">
        <v>83</v>
      </c>
      <c r="C3369" s="2">
        <f>HYPERLINK("https://sao.dolgi.msk.ru/account/1404238423/", 1404238423)</f>
        <v>1404238423</v>
      </c>
      <c r="D3369">
        <v>-5331.09</v>
      </c>
    </row>
    <row r="3370" spans="1:4" hidden="1" x14ac:dyDescent="0.25">
      <c r="A3370" t="s">
        <v>651</v>
      </c>
      <c r="B3370" t="s">
        <v>84</v>
      </c>
      <c r="C3370" s="2">
        <f>HYPERLINK("https://sao.dolgi.msk.ru/account/1404239063/", 1404239063)</f>
        <v>1404239063</v>
      </c>
      <c r="D3370">
        <v>-3144.93</v>
      </c>
    </row>
    <row r="3371" spans="1:4" hidden="1" x14ac:dyDescent="0.25">
      <c r="A3371" t="s">
        <v>651</v>
      </c>
      <c r="B3371" t="s">
        <v>85</v>
      </c>
      <c r="C3371" s="2">
        <f>HYPERLINK("https://sao.dolgi.msk.ru/account/1404240283/", 1404240283)</f>
        <v>1404240283</v>
      </c>
      <c r="D3371">
        <v>-7373.87</v>
      </c>
    </row>
    <row r="3372" spans="1:4" hidden="1" x14ac:dyDescent="0.25">
      <c r="A3372" t="s">
        <v>651</v>
      </c>
      <c r="B3372" t="s">
        <v>86</v>
      </c>
      <c r="C3372" s="2">
        <f>HYPERLINK("https://sao.dolgi.msk.ru/account/1404238802/", 1404238802)</f>
        <v>1404238802</v>
      </c>
      <c r="D3372">
        <v>-4945.25</v>
      </c>
    </row>
    <row r="3373" spans="1:4" hidden="1" x14ac:dyDescent="0.25">
      <c r="A3373" t="s">
        <v>651</v>
      </c>
      <c r="B3373" t="s">
        <v>87</v>
      </c>
      <c r="C3373" s="2">
        <f>HYPERLINK("https://sao.dolgi.msk.ru/account/1404239493/", 1404239493)</f>
        <v>1404239493</v>
      </c>
      <c r="D3373">
        <v>0</v>
      </c>
    </row>
    <row r="3374" spans="1:4" x14ac:dyDescent="0.25">
      <c r="A3374" t="s">
        <v>651</v>
      </c>
      <c r="B3374" t="s">
        <v>88</v>
      </c>
      <c r="C3374" s="2">
        <f>HYPERLINK("https://sao.dolgi.msk.ru/account/1404239506/", 1404239506)</f>
        <v>1404239506</v>
      </c>
      <c r="D3374">
        <v>33463.54</v>
      </c>
    </row>
    <row r="3375" spans="1:4" hidden="1" x14ac:dyDescent="0.25">
      <c r="A3375" t="s">
        <v>651</v>
      </c>
      <c r="B3375" t="s">
        <v>89</v>
      </c>
      <c r="C3375" s="2">
        <f>HYPERLINK("https://sao.dolgi.msk.ru/account/1404239821/", 1404239821)</f>
        <v>1404239821</v>
      </c>
      <c r="D3375">
        <v>0</v>
      </c>
    </row>
    <row r="3376" spans="1:4" x14ac:dyDescent="0.25">
      <c r="A3376" t="s">
        <v>651</v>
      </c>
      <c r="B3376" t="s">
        <v>90</v>
      </c>
      <c r="C3376" s="2">
        <f>HYPERLINK("https://sao.dolgi.msk.ru/account/1404240531/", 1404240531)</f>
        <v>1404240531</v>
      </c>
      <c r="D3376">
        <v>20783.46</v>
      </c>
    </row>
    <row r="3377" spans="1:4" hidden="1" x14ac:dyDescent="0.25">
      <c r="A3377" t="s">
        <v>651</v>
      </c>
      <c r="B3377" t="s">
        <v>91</v>
      </c>
      <c r="C3377" s="2">
        <f>HYPERLINK("https://sao.dolgi.msk.ru/account/1404240128/", 1404240128)</f>
        <v>1404240128</v>
      </c>
      <c r="D3377">
        <v>-4238.7299999999996</v>
      </c>
    </row>
    <row r="3378" spans="1:4" hidden="1" x14ac:dyDescent="0.25">
      <c r="A3378" t="s">
        <v>651</v>
      </c>
      <c r="B3378" t="s">
        <v>92</v>
      </c>
      <c r="C3378" s="2">
        <f>HYPERLINK("https://sao.dolgi.msk.ru/account/1404239514/", 1404239514)</f>
        <v>1404239514</v>
      </c>
      <c r="D3378">
        <v>-5967.95</v>
      </c>
    </row>
    <row r="3379" spans="1:4" hidden="1" x14ac:dyDescent="0.25">
      <c r="A3379" t="s">
        <v>651</v>
      </c>
      <c r="B3379" t="s">
        <v>93</v>
      </c>
      <c r="C3379" s="2">
        <f>HYPERLINK("https://sao.dolgi.msk.ru/account/1404239696/", 1404239696)</f>
        <v>1404239696</v>
      </c>
      <c r="D3379">
        <v>-4363.1499999999996</v>
      </c>
    </row>
    <row r="3380" spans="1:4" hidden="1" x14ac:dyDescent="0.25">
      <c r="A3380" t="s">
        <v>651</v>
      </c>
      <c r="B3380" t="s">
        <v>94</v>
      </c>
      <c r="C3380" s="2">
        <f>HYPERLINK("https://sao.dolgi.msk.ru/account/1404238087/", 1404238087)</f>
        <v>1404238087</v>
      </c>
      <c r="D3380">
        <v>-7267.96</v>
      </c>
    </row>
    <row r="3381" spans="1:4" hidden="1" x14ac:dyDescent="0.25">
      <c r="A3381" t="s">
        <v>651</v>
      </c>
      <c r="B3381" t="s">
        <v>95</v>
      </c>
      <c r="C3381" s="2">
        <f>HYPERLINK("https://sao.dolgi.msk.ru/account/1404238327/", 1404238327)</f>
        <v>1404238327</v>
      </c>
      <c r="D3381">
        <v>0</v>
      </c>
    </row>
    <row r="3382" spans="1:4" hidden="1" x14ac:dyDescent="0.25">
      <c r="A3382" t="s">
        <v>651</v>
      </c>
      <c r="B3382" t="s">
        <v>96</v>
      </c>
      <c r="C3382" s="2">
        <f>HYPERLINK("https://sao.dolgi.msk.ru/account/1404238431/", 1404238431)</f>
        <v>1404238431</v>
      </c>
      <c r="D3382">
        <v>-4525.41</v>
      </c>
    </row>
    <row r="3383" spans="1:4" hidden="1" x14ac:dyDescent="0.25">
      <c r="A3383" t="s">
        <v>651</v>
      </c>
      <c r="B3383" t="s">
        <v>97</v>
      </c>
      <c r="C3383" s="2">
        <f>HYPERLINK("https://sao.dolgi.msk.ru/account/1404238458/", 1404238458)</f>
        <v>1404238458</v>
      </c>
      <c r="D3383">
        <v>-4116.59</v>
      </c>
    </row>
    <row r="3384" spans="1:4" hidden="1" x14ac:dyDescent="0.25">
      <c r="A3384" t="s">
        <v>651</v>
      </c>
      <c r="B3384" t="s">
        <v>99</v>
      </c>
      <c r="C3384" s="2">
        <f>HYPERLINK("https://sao.dolgi.msk.ru/account/1404238466/", 1404238466)</f>
        <v>1404238466</v>
      </c>
      <c r="D3384">
        <v>0</v>
      </c>
    </row>
    <row r="3385" spans="1:4" hidden="1" x14ac:dyDescent="0.25">
      <c r="A3385" t="s">
        <v>651</v>
      </c>
      <c r="B3385" t="s">
        <v>100</v>
      </c>
      <c r="C3385" s="2">
        <f>HYPERLINK("https://sao.dolgi.msk.ru/account/1404240232/", 1404240232)</f>
        <v>1404240232</v>
      </c>
      <c r="D3385">
        <v>-3831.76</v>
      </c>
    </row>
    <row r="3386" spans="1:4" x14ac:dyDescent="0.25">
      <c r="A3386" t="s">
        <v>651</v>
      </c>
      <c r="B3386" t="s">
        <v>101</v>
      </c>
      <c r="C3386" s="2">
        <f>HYPERLINK("https://sao.dolgi.msk.ru/account/1404240136/", 1404240136)</f>
        <v>1404240136</v>
      </c>
      <c r="D3386">
        <v>3692.09</v>
      </c>
    </row>
    <row r="3387" spans="1:4" hidden="1" x14ac:dyDescent="0.25">
      <c r="A3387" t="s">
        <v>651</v>
      </c>
      <c r="B3387" t="s">
        <v>102</v>
      </c>
      <c r="C3387" s="2">
        <f>HYPERLINK("https://sao.dolgi.msk.ru/account/1404240144/", 1404240144)</f>
        <v>1404240144</v>
      </c>
      <c r="D3387">
        <v>-8784.2900000000009</v>
      </c>
    </row>
    <row r="3388" spans="1:4" hidden="1" x14ac:dyDescent="0.25">
      <c r="A3388" t="s">
        <v>651</v>
      </c>
      <c r="B3388" t="s">
        <v>103</v>
      </c>
      <c r="C3388" s="2">
        <f>HYPERLINK("https://sao.dolgi.msk.ru/account/1404239389/", 1404239389)</f>
        <v>1404239389</v>
      </c>
      <c r="D3388">
        <v>-3392.62</v>
      </c>
    </row>
    <row r="3389" spans="1:4" hidden="1" x14ac:dyDescent="0.25">
      <c r="A3389" t="s">
        <v>651</v>
      </c>
      <c r="B3389" t="s">
        <v>104</v>
      </c>
      <c r="C3389" s="2">
        <f>HYPERLINK("https://sao.dolgi.msk.ru/account/1404239186/", 1404239186)</f>
        <v>1404239186</v>
      </c>
      <c r="D3389">
        <v>-6782.66</v>
      </c>
    </row>
    <row r="3390" spans="1:4" hidden="1" x14ac:dyDescent="0.25">
      <c r="A3390" t="s">
        <v>651</v>
      </c>
      <c r="B3390" t="s">
        <v>105</v>
      </c>
      <c r="C3390" s="2">
        <f>HYPERLINK("https://sao.dolgi.msk.ru/account/1404240662/", 1404240662)</f>
        <v>1404240662</v>
      </c>
      <c r="D3390">
        <v>-5009.29</v>
      </c>
    </row>
    <row r="3391" spans="1:4" hidden="1" x14ac:dyDescent="0.25">
      <c r="A3391" t="s">
        <v>651</v>
      </c>
      <c r="B3391" t="s">
        <v>106</v>
      </c>
      <c r="C3391" s="2">
        <f>HYPERLINK("https://sao.dolgi.msk.ru/account/1404238992/", 1404238992)</f>
        <v>1404238992</v>
      </c>
      <c r="D3391">
        <v>-3273.62</v>
      </c>
    </row>
    <row r="3392" spans="1:4" hidden="1" x14ac:dyDescent="0.25">
      <c r="A3392" t="s">
        <v>651</v>
      </c>
      <c r="B3392" t="s">
        <v>107</v>
      </c>
      <c r="C3392" s="2">
        <f>HYPERLINK("https://sao.dolgi.msk.ru/account/1404238132/", 1404238132)</f>
        <v>1404238132</v>
      </c>
      <c r="D3392">
        <v>0</v>
      </c>
    </row>
    <row r="3393" spans="1:4" hidden="1" x14ac:dyDescent="0.25">
      <c r="A3393" t="s">
        <v>651</v>
      </c>
      <c r="B3393" t="s">
        <v>108</v>
      </c>
      <c r="C3393" s="2">
        <f>HYPERLINK("https://sao.dolgi.msk.ru/account/1404239733/", 1404239733)</f>
        <v>1404239733</v>
      </c>
      <c r="D3393">
        <v>-6613.03</v>
      </c>
    </row>
    <row r="3394" spans="1:4" x14ac:dyDescent="0.25">
      <c r="A3394" t="s">
        <v>651</v>
      </c>
      <c r="B3394" t="s">
        <v>109</v>
      </c>
      <c r="C3394" s="2">
        <f>HYPERLINK("https://sao.dolgi.msk.ru/account/1404239004/", 1404239004)</f>
        <v>1404239004</v>
      </c>
      <c r="D3394">
        <v>6543.31</v>
      </c>
    </row>
    <row r="3395" spans="1:4" x14ac:dyDescent="0.25">
      <c r="A3395" t="s">
        <v>651</v>
      </c>
      <c r="B3395" t="s">
        <v>110</v>
      </c>
      <c r="C3395" s="2">
        <f>HYPERLINK("https://sao.dolgi.msk.ru/account/1404238028/", 1404238028)</f>
        <v>1404238028</v>
      </c>
      <c r="D3395">
        <v>62843.56</v>
      </c>
    </row>
    <row r="3396" spans="1:4" hidden="1" x14ac:dyDescent="0.25">
      <c r="A3396" t="s">
        <v>651</v>
      </c>
      <c r="B3396" t="s">
        <v>111</v>
      </c>
      <c r="C3396" s="2">
        <f>HYPERLINK("https://sao.dolgi.msk.ru/account/1404240152/", 1404240152)</f>
        <v>1404240152</v>
      </c>
      <c r="D3396">
        <v>0</v>
      </c>
    </row>
    <row r="3397" spans="1:4" x14ac:dyDescent="0.25">
      <c r="A3397" t="s">
        <v>651</v>
      </c>
      <c r="B3397" t="s">
        <v>112</v>
      </c>
      <c r="C3397" s="2">
        <f>HYPERLINK("https://sao.dolgi.msk.ru/account/1404240005/", 1404240005)</f>
        <v>1404240005</v>
      </c>
      <c r="D3397">
        <v>17372.82</v>
      </c>
    </row>
    <row r="3398" spans="1:4" hidden="1" x14ac:dyDescent="0.25">
      <c r="A3398" t="s">
        <v>651</v>
      </c>
      <c r="B3398" t="s">
        <v>113</v>
      </c>
      <c r="C3398" s="2">
        <f>HYPERLINK("https://sao.dolgi.msk.ru/account/1404239741/", 1404239741)</f>
        <v>1404239741</v>
      </c>
      <c r="D3398">
        <v>-7459.07</v>
      </c>
    </row>
    <row r="3399" spans="1:4" hidden="1" x14ac:dyDescent="0.25">
      <c r="A3399" t="s">
        <v>651</v>
      </c>
      <c r="B3399" t="s">
        <v>114</v>
      </c>
      <c r="C3399" s="2">
        <f>HYPERLINK("https://sao.dolgi.msk.ru/account/1404239362/", 1404239362)</f>
        <v>1404239362</v>
      </c>
      <c r="D3399">
        <v>0</v>
      </c>
    </row>
    <row r="3400" spans="1:4" hidden="1" x14ac:dyDescent="0.25">
      <c r="A3400" t="s">
        <v>651</v>
      </c>
      <c r="B3400" t="s">
        <v>115</v>
      </c>
      <c r="C3400" s="2">
        <f>HYPERLINK("https://sao.dolgi.msk.ru/account/1404238546/", 1404238546)</f>
        <v>1404238546</v>
      </c>
      <c r="D3400">
        <v>0</v>
      </c>
    </row>
    <row r="3401" spans="1:4" hidden="1" x14ac:dyDescent="0.25">
      <c r="A3401" t="s">
        <v>651</v>
      </c>
      <c r="B3401" t="s">
        <v>116</v>
      </c>
      <c r="C3401" s="2">
        <f>HYPERLINK("https://sao.dolgi.msk.ru/account/1404239768/", 1404239768)</f>
        <v>1404239768</v>
      </c>
      <c r="D3401">
        <v>-3790.54</v>
      </c>
    </row>
    <row r="3402" spans="1:4" hidden="1" x14ac:dyDescent="0.25">
      <c r="A3402" t="s">
        <v>651</v>
      </c>
      <c r="B3402" t="s">
        <v>117</v>
      </c>
      <c r="C3402" s="2">
        <f>HYPERLINK("https://sao.dolgi.msk.ru/account/1404239178/", 1404239178)</f>
        <v>1404239178</v>
      </c>
      <c r="D3402">
        <v>-4533.09</v>
      </c>
    </row>
    <row r="3403" spans="1:4" hidden="1" x14ac:dyDescent="0.25">
      <c r="A3403" t="s">
        <v>651</v>
      </c>
      <c r="B3403" t="s">
        <v>118</v>
      </c>
      <c r="C3403" s="2">
        <f>HYPERLINK("https://sao.dolgi.msk.ru/account/1404238968/", 1404238968)</f>
        <v>1404238968</v>
      </c>
      <c r="D3403">
        <v>-10332.35</v>
      </c>
    </row>
    <row r="3404" spans="1:4" hidden="1" x14ac:dyDescent="0.25">
      <c r="A3404" t="s">
        <v>651</v>
      </c>
      <c r="B3404" t="s">
        <v>119</v>
      </c>
      <c r="C3404" s="2">
        <f>HYPERLINK("https://sao.dolgi.msk.ru/account/1404239776/", 1404239776)</f>
        <v>1404239776</v>
      </c>
      <c r="D3404">
        <v>-6049.59</v>
      </c>
    </row>
    <row r="3405" spans="1:4" hidden="1" x14ac:dyDescent="0.25">
      <c r="A3405" t="s">
        <v>651</v>
      </c>
      <c r="B3405" t="s">
        <v>120</v>
      </c>
      <c r="C3405" s="2">
        <f>HYPERLINK("https://sao.dolgi.msk.ru/account/1404238036/", 1404238036)</f>
        <v>1404238036</v>
      </c>
      <c r="D3405">
        <v>0</v>
      </c>
    </row>
    <row r="3406" spans="1:4" hidden="1" x14ac:dyDescent="0.25">
      <c r="A3406" t="s">
        <v>651</v>
      </c>
      <c r="B3406" t="s">
        <v>121</v>
      </c>
      <c r="C3406" s="2">
        <f>HYPERLINK("https://sao.dolgi.msk.ru/account/1404239936/", 1404239936)</f>
        <v>1404239936</v>
      </c>
      <c r="D3406">
        <v>-8773.99</v>
      </c>
    </row>
    <row r="3407" spans="1:4" hidden="1" x14ac:dyDescent="0.25">
      <c r="A3407" t="s">
        <v>651</v>
      </c>
      <c r="B3407" t="s">
        <v>122</v>
      </c>
      <c r="C3407" s="2">
        <f>HYPERLINK("https://sao.dolgi.msk.ru/account/1404238044/", 1404238044)</f>
        <v>1404238044</v>
      </c>
      <c r="D3407">
        <v>-4913.88</v>
      </c>
    </row>
    <row r="3408" spans="1:4" hidden="1" x14ac:dyDescent="0.25">
      <c r="A3408" t="s">
        <v>651</v>
      </c>
      <c r="B3408" t="s">
        <v>123</v>
      </c>
      <c r="C3408" s="2">
        <f>HYPERLINK("https://sao.dolgi.msk.ru/account/1404238335/", 1404238335)</f>
        <v>1404238335</v>
      </c>
      <c r="D3408">
        <v>-3744.19</v>
      </c>
    </row>
    <row r="3409" spans="1:4" hidden="1" x14ac:dyDescent="0.25">
      <c r="A3409" t="s">
        <v>651</v>
      </c>
      <c r="B3409" t="s">
        <v>124</v>
      </c>
      <c r="C3409" s="2">
        <f>HYPERLINK("https://sao.dolgi.msk.ru/account/1404239784/", 1404239784)</f>
        <v>1404239784</v>
      </c>
      <c r="D3409">
        <v>0</v>
      </c>
    </row>
    <row r="3410" spans="1:4" hidden="1" x14ac:dyDescent="0.25">
      <c r="A3410" t="s">
        <v>651</v>
      </c>
      <c r="B3410" t="s">
        <v>125</v>
      </c>
      <c r="C3410" s="2">
        <f>HYPERLINK("https://sao.dolgi.msk.ru/account/1404240566/", 1404240566)</f>
        <v>1404240566</v>
      </c>
      <c r="D3410">
        <v>0</v>
      </c>
    </row>
    <row r="3411" spans="1:4" x14ac:dyDescent="0.25">
      <c r="A3411" t="s">
        <v>651</v>
      </c>
      <c r="B3411" t="s">
        <v>126</v>
      </c>
      <c r="C3411" s="2">
        <f>HYPERLINK("https://sao.dolgi.msk.ru/account/1404238781/", 1404238781)</f>
        <v>1404238781</v>
      </c>
      <c r="D3411">
        <v>22067.24</v>
      </c>
    </row>
    <row r="3412" spans="1:4" hidden="1" x14ac:dyDescent="0.25">
      <c r="A3412" t="s">
        <v>651</v>
      </c>
      <c r="B3412" t="s">
        <v>127</v>
      </c>
      <c r="C3412" s="2">
        <f>HYPERLINK("https://sao.dolgi.msk.ru/account/1404238618/", 1404238618)</f>
        <v>1404238618</v>
      </c>
      <c r="D3412">
        <v>-6365.58</v>
      </c>
    </row>
    <row r="3413" spans="1:4" hidden="1" x14ac:dyDescent="0.25">
      <c r="A3413" t="s">
        <v>651</v>
      </c>
      <c r="B3413" t="s">
        <v>128</v>
      </c>
      <c r="C3413" s="2">
        <f>HYPERLINK("https://sao.dolgi.msk.ru/account/1404239792/", 1404239792)</f>
        <v>1404239792</v>
      </c>
      <c r="D3413">
        <v>0</v>
      </c>
    </row>
    <row r="3414" spans="1:4" hidden="1" x14ac:dyDescent="0.25">
      <c r="A3414" t="s">
        <v>651</v>
      </c>
      <c r="B3414" t="s">
        <v>129</v>
      </c>
      <c r="C3414" s="2">
        <f>HYPERLINK("https://sao.dolgi.msk.ru/account/1404239012/", 1404239012)</f>
        <v>1404239012</v>
      </c>
      <c r="D3414">
        <v>-5435.45</v>
      </c>
    </row>
    <row r="3415" spans="1:4" hidden="1" x14ac:dyDescent="0.25">
      <c r="A3415" t="s">
        <v>651</v>
      </c>
      <c r="B3415" t="s">
        <v>130</v>
      </c>
      <c r="C3415" s="2">
        <f>HYPERLINK("https://sao.dolgi.msk.ru/account/1404239207/", 1404239207)</f>
        <v>1404239207</v>
      </c>
      <c r="D3415">
        <v>-6493.94</v>
      </c>
    </row>
    <row r="3416" spans="1:4" x14ac:dyDescent="0.25">
      <c r="A3416" t="s">
        <v>651</v>
      </c>
      <c r="B3416" t="s">
        <v>131</v>
      </c>
      <c r="C3416" s="2">
        <f>HYPERLINK("https://sao.dolgi.msk.ru/account/1404239071/", 1404239071)</f>
        <v>1404239071</v>
      </c>
      <c r="D3416">
        <v>6362.44</v>
      </c>
    </row>
    <row r="3417" spans="1:4" hidden="1" x14ac:dyDescent="0.25">
      <c r="A3417" t="s">
        <v>651</v>
      </c>
      <c r="B3417" t="s">
        <v>132</v>
      </c>
      <c r="C3417" s="2">
        <f>HYPERLINK("https://sao.dolgi.msk.ru/account/1404238052/", 1404238052)</f>
        <v>1404238052</v>
      </c>
      <c r="D3417">
        <v>-3189.23</v>
      </c>
    </row>
    <row r="3418" spans="1:4" x14ac:dyDescent="0.25">
      <c r="A3418" t="s">
        <v>651</v>
      </c>
      <c r="B3418" t="s">
        <v>133</v>
      </c>
      <c r="C3418" s="2">
        <f>HYPERLINK("https://sao.dolgi.msk.ru/account/1404240179/", 1404240179)</f>
        <v>1404240179</v>
      </c>
      <c r="D3418">
        <v>5726.23</v>
      </c>
    </row>
    <row r="3419" spans="1:4" hidden="1" x14ac:dyDescent="0.25">
      <c r="A3419" t="s">
        <v>651</v>
      </c>
      <c r="B3419" t="s">
        <v>134</v>
      </c>
      <c r="C3419" s="2">
        <f>HYPERLINK("https://sao.dolgi.msk.ru/account/1404239805/", 1404239805)</f>
        <v>1404239805</v>
      </c>
      <c r="D3419">
        <v>-5040.43</v>
      </c>
    </row>
    <row r="3420" spans="1:4" hidden="1" x14ac:dyDescent="0.25">
      <c r="A3420" t="s">
        <v>651</v>
      </c>
      <c r="B3420" t="s">
        <v>135</v>
      </c>
      <c r="C3420" s="2">
        <f>HYPERLINK("https://sao.dolgi.msk.ru/account/1404239039/", 1404239039)</f>
        <v>1404239039</v>
      </c>
      <c r="D3420">
        <v>-3548.46</v>
      </c>
    </row>
    <row r="3421" spans="1:4" hidden="1" x14ac:dyDescent="0.25">
      <c r="A3421" t="s">
        <v>651</v>
      </c>
      <c r="B3421" t="s">
        <v>136</v>
      </c>
      <c r="C3421" s="2">
        <f>HYPERLINK("https://sao.dolgi.msk.ru/account/1404238626/", 1404238626)</f>
        <v>1404238626</v>
      </c>
      <c r="D3421">
        <v>0</v>
      </c>
    </row>
    <row r="3422" spans="1:4" x14ac:dyDescent="0.25">
      <c r="A3422" t="s">
        <v>651</v>
      </c>
      <c r="B3422" t="s">
        <v>137</v>
      </c>
      <c r="C3422" s="2">
        <f>HYPERLINK("https://sao.dolgi.msk.ru/account/1404239813/", 1404239813)</f>
        <v>1404239813</v>
      </c>
      <c r="D3422">
        <v>73005.69</v>
      </c>
    </row>
    <row r="3423" spans="1:4" x14ac:dyDescent="0.25">
      <c r="A3423" t="s">
        <v>651</v>
      </c>
      <c r="B3423" t="s">
        <v>138</v>
      </c>
      <c r="C3423" s="2">
        <f>HYPERLINK("https://sao.dolgi.msk.ru/account/1404238263/", 1404238263)</f>
        <v>1404238263</v>
      </c>
      <c r="D3423">
        <v>22234.59</v>
      </c>
    </row>
    <row r="3424" spans="1:4" hidden="1" x14ac:dyDescent="0.25">
      <c r="A3424" t="s">
        <v>651</v>
      </c>
      <c r="B3424" t="s">
        <v>139</v>
      </c>
      <c r="C3424" s="2">
        <f>HYPERLINK("https://sao.dolgi.msk.ru/account/1404240259/", 1404240259)</f>
        <v>1404240259</v>
      </c>
      <c r="D3424">
        <v>-6664.48</v>
      </c>
    </row>
    <row r="3425" spans="1:4" hidden="1" x14ac:dyDescent="0.25">
      <c r="A3425" t="s">
        <v>651</v>
      </c>
      <c r="B3425" t="s">
        <v>140</v>
      </c>
      <c r="C3425" s="2">
        <f>HYPERLINK("https://sao.dolgi.msk.ru/account/1404238116/", 1404238116)</f>
        <v>1404238116</v>
      </c>
      <c r="D3425">
        <v>0</v>
      </c>
    </row>
    <row r="3426" spans="1:4" x14ac:dyDescent="0.25">
      <c r="A3426" t="s">
        <v>651</v>
      </c>
      <c r="B3426" t="s">
        <v>141</v>
      </c>
      <c r="C3426" s="2">
        <f>HYPERLINK("https://sao.dolgi.msk.ru/account/1404239717/", 1404239717)</f>
        <v>1404239717</v>
      </c>
      <c r="D3426">
        <v>1404.52</v>
      </c>
    </row>
    <row r="3427" spans="1:4" hidden="1" x14ac:dyDescent="0.25">
      <c r="A3427" t="s">
        <v>651</v>
      </c>
      <c r="B3427" t="s">
        <v>142</v>
      </c>
      <c r="C3427" s="2">
        <f>HYPERLINK("https://sao.dolgi.msk.ru/account/1404238976/", 1404238976)</f>
        <v>1404238976</v>
      </c>
      <c r="D3427">
        <v>0</v>
      </c>
    </row>
    <row r="3428" spans="1:4" hidden="1" x14ac:dyDescent="0.25">
      <c r="A3428" t="s">
        <v>651</v>
      </c>
      <c r="B3428" t="s">
        <v>143</v>
      </c>
      <c r="C3428" s="2">
        <f>HYPERLINK("https://sao.dolgi.msk.ru/account/1404238538/", 1404238538)</f>
        <v>1404238538</v>
      </c>
      <c r="D3428">
        <v>-493.89</v>
      </c>
    </row>
    <row r="3429" spans="1:4" hidden="1" x14ac:dyDescent="0.25">
      <c r="A3429" t="s">
        <v>651</v>
      </c>
      <c r="B3429" t="s">
        <v>144</v>
      </c>
      <c r="C3429" s="2">
        <f>HYPERLINK("https://sao.dolgi.msk.ru/account/1404240451/", 1404240451)</f>
        <v>1404240451</v>
      </c>
      <c r="D3429">
        <v>-4306.28</v>
      </c>
    </row>
    <row r="3430" spans="1:4" hidden="1" x14ac:dyDescent="0.25">
      <c r="A3430" t="s">
        <v>651</v>
      </c>
      <c r="B3430" t="s">
        <v>145</v>
      </c>
      <c r="C3430" s="2">
        <f>HYPERLINK("https://sao.dolgi.msk.ru/account/1404239311/", 1404239311)</f>
        <v>1404239311</v>
      </c>
      <c r="D3430">
        <v>0</v>
      </c>
    </row>
    <row r="3431" spans="1:4" hidden="1" x14ac:dyDescent="0.25">
      <c r="A3431" t="s">
        <v>651</v>
      </c>
      <c r="B3431" t="s">
        <v>146</v>
      </c>
      <c r="C3431" s="2">
        <f>HYPERLINK("https://sao.dolgi.msk.ru/account/1404239725/", 1404239725)</f>
        <v>1404239725</v>
      </c>
      <c r="D3431">
        <v>0</v>
      </c>
    </row>
    <row r="3432" spans="1:4" hidden="1" x14ac:dyDescent="0.25">
      <c r="A3432" t="s">
        <v>651</v>
      </c>
      <c r="B3432" t="s">
        <v>147</v>
      </c>
      <c r="C3432" s="2">
        <f>HYPERLINK("https://sao.dolgi.msk.ru/account/1404240478/", 1404240478)</f>
        <v>1404240478</v>
      </c>
      <c r="D3432">
        <v>-4771.79</v>
      </c>
    </row>
    <row r="3433" spans="1:4" hidden="1" x14ac:dyDescent="0.25">
      <c r="A3433" t="s">
        <v>651</v>
      </c>
      <c r="B3433" t="s">
        <v>148</v>
      </c>
      <c r="C3433" s="2">
        <f>HYPERLINK("https://sao.dolgi.msk.ru/account/1404239549/", 1404239549)</f>
        <v>1404239549</v>
      </c>
      <c r="D3433">
        <v>-8324.1200000000008</v>
      </c>
    </row>
    <row r="3434" spans="1:4" hidden="1" x14ac:dyDescent="0.25">
      <c r="A3434" t="s">
        <v>651</v>
      </c>
      <c r="B3434" t="s">
        <v>149</v>
      </c>
      <c r="C3434" s="2">
        <f>HYPERLINK("https://sao.dolgi.msk.ru/account/1404238386/", 1404238386)</f>
        <v>1404238386</v>
      </c>
      <c r="D3434">
        <v>0</v>
      </c>
    </row>
    <row r="3435" spans="1:4" hidden="1" x14ac:dyDescent="0.25">
      <c r="A3435" t="s">
        <v>651</v>
      </c>
      <c r="B3435" t="s">
        <v>150</v>
      </c>
      <c r="C3435" s="2">
        <f>HYPERLINK("https://sao.dolgi.msk.ru/account/1404240486/", 1404240486)</f>
        <v>1404240486</v>
      </c>
      <c r="D3435">
        <v>-4315.08</v>
      </c>
    </row>
    <row r="3436" spans="1:4" hidden="1" x14ac:dyDescent="0.25">
      <c r="A3436" t="s">
        <v>651</v>
      </c>
      <c r="B3436" t="s">
        <v>151</v>
      </c>
      <c r="C3436" s="2">
        <f>HYPERLINK("https://sao.dolgi.msk.ru/account/1404238394/", 1404238394)</f>
        <v>1404238394</v>
      </c>
      <c r="D3436">
        <v>-5501.33</v>
      </c>
    </row>
    <row r="3437" spans="1:4" hidden="1" x14ac:dyDescent="0.25">
      <c r="A3437" t="s">
        <v>651</v>
      </c>
      <c r="B3437" t="s">
        <v>152</v>
      </c>
      <c r="C3437" s="2">
        <f>HYPERLINK("https://sao.dolgi.msk.ru/account/1404238861/", 1404238861)</f>
        <v>1404238861</v>
      </c>
      <c r="D3437">
        <v>0</v>
      </c>
    </row>
    <row r="3438" spans="1:4" x14ac:dyDescent="0.25">
      <c r="A3438" t="s">
        <v>651</v>
      </c>
      <c r="B3438" t="s">
        <v>153</v>
      </c>
      <c r="C3438" s="2">
        <f>HYPERLINK("https://sao.dolgi.msk.ru/account/1404238407/", 1404238407)</f>
        <v>1404238407</v>
      </c>
      <c r="D3438">
        <v>2076.56</v>
      </c>
    </row>
    <row r="3439" spans="1:4" hidden="1" x14ac:dyDescent="0.25">
      <c r="A3439" t="s">
        <v>651</v>
      </c>
      <c r="B3439" t="s">
        <v>154</v>
      </c>
      <c r="C3439" s="2">
        <f>HYPERLINK("https://sao.dolgi.msk.ru/account/1404237973/", 1404237973)</f>
        <v>1404237973</v>
      </c>
      <c r="D3439">
        <v>0</v>
      </c>
    </row>
    <row r="3440" spans="1:4" hidden="1" x14ac:dyDescent="0.25">
      <c r="A3440" t="s">
        <v>651</v>
      </c>
      <c r="B3440" t="s">
        <v>155</v>
      </c>
      <c r="C3440" s="2">
        <f>HYPERLINK("https://sao.dolgi.msk.ru/account/1404240208/", 1404240208)</f>
        <v>1404240208</v>
      </c>
      <c r="D3440">
        <v>-2974.87</v>
      </c>
    </row>
    <row r="3441" spans="1:4" x14ac:dyDescent="0.25">
      <c r="A3441" t="s">
        <v>651</v>
      </c>
      <c r="B3441" t="s">
        <v>156</v>
      </c>
      <c r="C3441" s="2">
        <f>HYPERLINK("https://sao.dolgi.msk.ru/account/1404240558/", 1404240558)</f>
        <v>1404240558</v>
      </c>
      <c r="D3441">
        <v>32995.82</v>
      </c>
    </row>
    <row r="3442" spans="1:4" hidden="1" x14ac:dyDescent="0.25">
      <c r="A3442" t="s">
        <v>651</v>
      </c>
      <c r="B3442" t="s">
        <v>157</v>
      </c>
      <c r="C3442" s="2">
        <f>HYPERLINK("https://sao.dolgi.msk.ru/account/1404240216/", 1404240216)</f>
        <v>1404240216</v>
      </c>
      <c r="D3442">
        <v>-8111.88</v>
      </c>
    </row>
    <row r="3443" spans="1:4" hidden="1" x14ac:dyDescent="0.25">
      <c r="A3443" t="s">
        <v>651</v>
      </c>
      <c r="B3443" t="s">
        <v>158</v>
      </c>
      <c r="C3443" s="2">
        <f>HYPERLINK("https://sao.dolgi.msk.ru/account/1404239872/", 1404239872)</f>
        <v>1404239872</v>
      </c>
      <c r="D3443">
        <v>0</v>
      </c>
    </row>
    <row r="3444" spans="1:4" hidden="1" x14ac:dyDescent="0.25">
      <c r="A3444" t="s">
        <v>651</v>
      </c>
      <c r="B3444" t="s">
        <v>159</v>
      </c>
      <c r="C3444" s="2">
        <f>HYPERLINK("https://sao.dolgi.msk.ru/account/1404239442/", 1404239442)</f>
        <v>1404239442</v>
      </c>
      <c r="D3444">
        <v>0</v>
      </c>
    </row>
    <row r="3445" spans="1:4" hidden="1" x14ac:dyDescent="0.25">
      <c r="A3445" t="s">
        <v>651</v>
      </c>
      <c r="B3445" t="s">
        <v>160</v>
      </c>
      <c r="C3445" s="2">
        <f>HYPERLINK("https://sao.dolgi.msk.ru/account/1404239469/", 1404239469)</f>
        <v>1404239469</v>
      </c>
      <c r="D3445">
        <v>0</v>
      </c>
    </row>
    <row r="3446" spans="1:4" hidden="1" x14ac:dyDescent="0.25">
      <c r="A3446" t="s">
        <v>651</v>
      </c>
      <c r="B3446" t="s">
        <v>161</v>
      </c>
      <c r="C3446" s="2">
        <f>HYPERLINK("https://sao.dolgi.msk.ru/account/1404239477/", 1404239477)</f>
        <v>1404239477</v>
      </c>
      <c r="D3446">
        <v>0</v>
      </c>
    </row>
    <row r="3447" spans="1:4" x14ac:dyDescent="0.25">
      <c r="A3447" t="s">
        <v>651</v>
      </c>
      <c r="B3447" t="s">
        <v>162</v>
      </c>
      <c r="C3447" s="2">
        <f>HYPERLINK("https://sao.dolgi.msk.ru/account/1404238773/", 1404238773)</f>
        <v>1404238773</v>
      </c>
      <c r="D3447">
        <v>347.88</v>
      </c>
    </row>
    <row r="3448" spans="1:4" hidden="1" x14ac:dyDescent="0.25">
      <c r="A3448" t="s">
        <v>651</v>
      </c>
      <c r="B3448" t="s">
        <v>163</v>
      </c>
      <c r="C3448" s="2">
        <f>HYPERLINK("https://sao.dolgi.msk.ru/account/1404238597/", 1404238597)</f>
        <v>1404238597</v>
      </c>
      <c r="D3448">
        <v>-7707.06</v>
      </c>
    </row>
    <row r="3449" spans="1:4" hidden="1" x14ac:dyDescent="0.25">
      <c r="A3449" t="s">
        <v>651</v>
      </c>
      <c r="B3449" t="s">
        <v>164</v>
      </c>
      <c r="C3449" s="2">
        <f>HYPERLINK("https://sao.dolgi.msk.ru/account/1404239899/", 1404239899)</f>
        <v>1404239899</v>
      </c>
      <c r="D3449">
        <v>-7511.11</v>
      </c>
    </row>
    <row r="3450" spans="1:4" x14ac:dyDescent="0.25">
      <c r="A3450" t="s">
        <v>651</v>
      </c>
      <c r="B3450" t="s">
        <v>165</v>
      </c>
      <c r="C3450" s="2">
        <f>HYPERLINK("https://sao.dolgi.msk.ru/account/1404238415/", 1404238415)</f>
        <v>1404238415</v>
      </c>
      <c r="D3450">
        <v>82043.990000000005</v>
      </c>
    </row>
    <row r="3451" spans="1:4" hidden="1" x14ac:dyDescent="0.25">
      <c r="A3451" t="s">
        <v>651</v>
      </c>
      <c r="B3451" t="s">
        <v>166</v>
      </c>
      <c r="C3451" s="2">
        <f>HYPERLINK("https://sao.dolgi.msk.ru/account/1404240523/", 1404240523)</f>
        <v>1404240523</v>
      </c>
      <c r="D3451">
        <v>-7133.77</v>
      </c>
    </row>
    <row r="3452" spans="1:4" hidden="1" x14ac:dyDescent="0.25">
      <c r="A3452" t="s">
        <v>651</v>
      </c>
      <c r="B3452" t="s">
        <v>167</v>
      </c>
      <c r="C3452" s="2">
        <f>HYPERLINK("https://sao.dolgi.msk.ru/account/1404239653/", 1404239653)</f>
        <v>1404239653</v>
      </c>
      <c r="D3452">
        <v>0</v>
      </c>
    </row>
    <row r="3453" spans="1:4" hidden="1" x14ac:dyDescent="0.25">
      <c r="A3453" t="s">
        <v>651</v>
      </c>
      <c r="B3453" t="s">
        <v>168</v>
      </c>
      <c r="C3453" s="2">
        <f>HYPERLINK("https://sao.dolgi.msk.ru/account/1404239119/", 1404239119)</f>
        <v>1404239119</v>
      </c>
      <c r="D3453">
        <v>0</v>
      </c>
    </row>
    <row r="3454" spans="1:4" hidden="1" x14ac:dyDescent="0.25">
      <c r="A3454" t="s">
        <v>651</v>
      </c>
      <c r="B3454" t="s">
        <v>169</v>
      </c>
      <c r="C3454" s="2">
        <f>HYPERLINK("https://sao.dolgi.msk.ru/account/1404239944/", 1404239944)</f>
        <v>1404239944</v>
      </c>
      <c r="D3454">
        <v>-5868.08</v>
      </c>
    </row>
    <row r="3455" spans="1:4" hidden="1" x14ac:dyDescent="0.25">
      <c r="A3455" t="s">
        <v>651</v>
      </c>
      <c r="B3455" t="s">
        <v>170</v>
      </c>
      <c r="C3455" s="2">
        <f>HYPERLINK("https://sao.dolgi.msk.ru/account/1404239354/", 1404239354)</f>
        <v>1404239354</v>
      </c>
      <c r="D3455">
        <v>-6234.36</v>
      </c>
    </row>
    <row r="3456" spans="1:4" hidden="1" x14ac:dyDescent="0.25">
      <c r="A3456" t="s">
        <v>651</v>
      </c>
      <c r="B3456" t="s">
        <v>171</v>
      </c>
      <c r="C3456" s="2">
        <f>HYPERLINK("https://sao.dolgi.msk.ru/account/1404239127/", 1404239127)</f>
        <v>1404239127</v>
      </c>
      <c r="D3456">
        <v>0</v>
      </c>
    </row>
    <row r="3457" spans="1:4" x14ac:dyDescent="0.25">
      <c r="A3457" t="s">
        <v>651</v>
      </c>
      <c r="B3457" t="s">
        <v>172</v>
      </c>
      <c r="C3457" s="2">
        <f>HYPERLINK("https://sao.dolgi.msk.ru/account/1404239098/", 1404239098)</f>
        <v>1404239098</v>
      </c>
      <c r="D3457">
        <v>121518.94</v>
      </c>
    </row>
    <row r="3458" spans="1:4" hidden="1" x14ac:dyDescent="0.25">
      <c r="A3458" t="s">
        <v>651</v>
      </c>
      <c r="B3458" t="s">
        <v>173</v>
      </c>
      <c r="C3458" s="2">
        <f>HYPERLINK("https://sao.dolgi.msk.ru/account/1404239143/", 1404239143)</f>
        <v>1404239143</v>
      </c>
      <c r="D3458">
        <v>-3215.46</v>
      </c>
    </row>
    <row r="3459" spans="1:4" hidden="1" x14ac:dyDescent="0.25">
      <c r="A3459" t="s">
        <v>651</v>
      </c>
      <c r="B3459" t="s">
        <v>174</v>
      </c>
      <c r="C3459" s="2">
        <f>HYPERLINK("https://sao.dolgi.msk.ru/account/1404239135/", 1404239135)</f>
        <v>1404239135</v>
      </c>
      <c r="D3459">
        <v>0</v>
      </c>
    </row>
    <row r="3460" spans="1:4" hidden="1" x14ac:dyDescent="0.25">
      <c r="A3460" t="s">
        <v>651</v>
      </c>
      <c r="B3460" t="s">
        <v>175</v>
      </c>
      <c r="C3460" s="2">
        <f>HYPERLINK("https://sao.dolgi.msk.ru/account/1404238706/", 1404238706)</f>
        <v>1404238706</v>
      </c>
      <c r="D3460">
        <v>0</v>
      </c>
    </row>
    <row r="3461" spans="1:4" hidden="1" x14ac:dyDescent="0.25">
      <c r="A3461" t="s">
        <v>651</v>
      </c>
      <c r="B3461" t="s">
        <v>176</v>
      </c>
      <c r="C3461" s="2">
        <f>HYPERLINK("https://sao.dolgi.msk.ru/account/1404238247/", 1404238247)</f>
        <v>1404238247</v>
      </c>
      <c r="D3461">
        <v>0</v>
      </c>
    </row>
    <row r="3462" spans="1:4" hidden="1" x14ac:dyDescent="0.25">
      <c r="A3462" t="s">
        <v>651</v>
      </c>
      <c r="B3462" t="s">
        <v>177</v>
      </c>
      <c r="C3462" s="2">
        <f>HYPERLINK("https://sao.dolgi.msk.ru/account/1404240224/", 1404240224)</f>
        <v>1404240224</v>
      </c>
      <c r="D3462">
        <v>-2291.52</v>
      </c>
    </row>
    <row r="3463" spans="1:4" hidden="1" x14ac:dyDescent="0.25">
      <c r="A3463" t="s">
        <v>651</v>
      </c>
      <c r="B3463" t="s">
        <v>178</v>
      </c>
      <c r="C3463" s="2">
        <f>HYPERLINK("https://sao.dolgi.msk.ru/account/1404237877/", 1404237877)</f>
        <v>1404237877</v>
      </c>
      <c r="D3463">
        <v>-3392.36</v>
      </c>
    </row>
    <row r="3464" spans="1:4" x14ac:dyDescent="0.25">
      <c r="A3464" t="s">
        <v>651</v>
      </c>
      <c r="B3464" t="s">
        <v>179</v>
      </c>
      <c r="C3464" s="2">
        <f>HYPERLINK("https://sao.dolgi.msk.ru/account/1404238271/", 1404238271)</f>
        <v>1404238271</v>
      </c>
      <c r="D3464">
        <v>11420.24</v>
      </c>
    </row>
    <row r="3465" spans="1:4" hidden="1" x14ac:dyDescent="0.25">
      <c r="A3465" t="s">
        <v>651</v>
      </c>
      <c r="B3465" t="s">
        <v>180</v>
      </c>
      <c r="C3465" s="2">
        <f>HYPERLINK("https://sao.dolgi.msk.ru/account/1404239434/", 1404239434)</f>
        <v>1404239434</v>
      </c>
      <c r="D3465">
        <v>0</v>
      </c>
    </row>
    <row r="3466" spans="1:4" hidden="1" x14ac:dyDescent="0.25">
      <c r="A3466" t="s">
        <v>651</v>
      </c>
      <c r="B3466" t="s">
        <v>181</v>
      </c>
      <c r="C3466" s="2">
        <f>HYPERLINK("https://sao.dolgi.msk.ru/account/1404240056/", 1404240056)</f>
        <v>1404240056</v>
      </c>
      <c r="D3466">
        <v>0</v>
      </c>
    </row>
    <row r="3467" spans="1:4" hidden="1" x14ac:dyDescent="0.25">
      <c r="A3467" t="s">
        <v>651</v>
      </c>
      <c r="B3467" t="s">
        <v>182</v>
      </c>
      <c r="C3467" s="2">
        <f>HYPERLINK("https://sao.dolgi.msk.ru/account/1404237885/", 1404237885)</f>
        <v>1404237885</v>
      </c>
      <c r="D3467">
        <v>-4762.54</v>
      </c>
    </row>
    <row r="3468" spans="1:4" hidden="1" x14ac:dyDescent="0.25">
      <c r="A3468" t="s">
        <v>651</v>
      </c>
      <c r="B3468" t="s">
        <v>183</v>
      </c>
      <c r="C3468" s="2">
        <f>HYPERLINK("https://sao.dolgi.msk.ru/account/1404239565/", 1404239565)</f>
        <v>1404239565</v>
      </c>
      <c r="D3468">
        <v>-6283.5</v>
      </c>
    </row>
    <row r="3469" spans="1:4" hidden="1" x14ac:dyDescent="0.25">
      <c r="A3469" t="s">
        <v>651</v>
      </c>
      <c r="B3469" t="s">
        <v>184</v>
      </c>
      <c r="C3469" s="2">
        <f>HYPERLINK("https://sao.dolgi.msk.ru/account/1404239995/", 1404239995)</f>
        <v>1404239995</v>
      </c>
      <c r="D3469">
        <v>-6794.42</v>
      </c>
    </row>
    <row r="3470" spans="1:4" hidden="1" x14ac:dyDescent="0.25">
      <c r="A3470" t="s">
        <v>651</v>
      </c>
      <c r="B3470" t="s">
        <v>185</v>
      </c>
      <c r="C3470" s="2">
        <f>HYPERLINK("https://sao.dolgi.msk.ru/account/1404239522/", 1404239522)</f>
        <v>1404239522</v>
      </c>
      <c r="D3470">
        <v>-3880.37</v>
      </c>
    </row>
    <row r="3471" spans="1:4" hidden="1" x14ac:dyDescent="0.25">
      <c r="A3471" t="s">
        <v>651</v>
      </c>
      <c r="B3471" t="s">
        <v>185</v>
      </c>
      <c r="C3471" s="2">
        <f>HYPERLINK("https://sao.dolgi.msk.ru/account/1404240611/", 1404240611)</f>
        <v>1404240611</v>
      </c>
      <c r="D3471">
        <v>-3880.37</v>
      </c>
    </row>
    <row r="3472" spans="1:4" hidden="1" x14ac:dyDescent="0.25">
      <c r="A3472" t="s">
        <v>651</v>
      </c>
      <c r="B3472" t="s">
        <v>186</v>
      </c>
      <c r="C3472" s="2">
        <f>HYPERLINK("https://sao.dolgi.msk.ru/account/1404238167/", 1404238167)</f>
        <v>1404238167</v>
      </c>
      <c r="D3472">
        <v>0</v>
      </c>
    </row>
    <row r="3473" spans="1:4" hidden="1" x14ac:dyDescent="0.25">
      <c r="A3473" t="s">
        <v>651</v>
      </c>
      <c r="B3473" t="s">
        <v>187</v>
      </c>
      <c r="C3473" s="2">
        <f>HYPERLINK("https://sao.dolgi.msk.ru/account/1404239215/", 1404239215)</f>
        <v>1404239215</v>
      </c>
      <c r="D3473">
        <v>0</v>
      </c>
    </row>
    <row r="3474" spans="1:4" x14ac:dyDescent="0.25">
      <c r="A3474" t="s">
        <v>651</v>
      </c>
      <c r="B3474" t="s">
        <v>188</v>
      </c>
      <c r="C3474" s="2">
        <f>HYPERLINK("https://sao.dolgi.msk.ru/account/1404238319/", 1404238319)</f>
        <v>1404238319</v>
      </c>
      <c r="D3474">
        <v>79.08</v>
      </c>
    </row>
    <row r="3475" spans="1:4" hidden="1" x14ac:dyDescent="0.25">
      <c r="A3475" t="s">
        <v>651</v>
      </c>
      <c r="B3475" t="s">
        <v>189</v>
      </c>
      <c r="C3475" s="2">
        <f>HYPERLINK("https://sao.dolgi.msk.ru/account/1404240646/", 1404240646)</f>
        <v>1404240646</v>
      </c>
      <c r="D3475">
        <v>0</v>
      </c>
    </row>
    <row r="3476" spans="1:4" x14ac:dyDescent="0.25">
      <c r="A3476" t="s">
        <v>651</v>
      </c>
      <c r="B3476" t="s">
        <v>190</v>
      </c>
      <c r="C3476" s="2">
        <f>HYPERLINK("https://sao.dolgi.msk.ru/account/1404237893/", 1404237893)</f>
        <v>1404237893</v>
      </c>
      <c r="D3476">
        <v>47330</v>
      </c>
    </row>
    <row r="3477" spans="1:4" hidden="1" x14ac:dyDescent="0.25">
      <c r="A3477" t="s">
        <v>651</v>
      </c>
      <c r="B3477" t="s">
        <v>191</v>
      </c>
      <c r="C3477" s="2">
        <f>HYPERLINK("https://sao.dolgi.msk.ru/account/1404240021/", 1404240021)</f>
        <v>1404240021</v>
      </c>
      <c r="D3477">
        <v>-5620.01</v>
      </c>
    </row>
    <row r="3478" spans="1:4" hidden="1" x14ac:dyDescent="0.25">
      <c r="A3478" t="s">
        <v>651</v>
      </c>
      <c r="B3478" t="s">
        <v>192</v>
      </c>
      <c r="C3478" s="2">
        <f>HYPERLINK("https://sao.dolgi.msk.ru/account/1404238888/", 1404238888)</f>
        <v>1404238888</v>
      </c>
      <c r="D3478">
        <v>-5284.78</v>
      </c>
    </row>
    <row r="3479" spans="1:4" hidden="1" x14ac:dyDescent="0.25">
      <c r="A3479" t="s">
        <v>651</v>
      </c>
      <c r="B3479" t="s">
        <v>193</v>
      </c>
      <c r="C3479" s="2">
        <f>HYPERLINK("https://sao.dolgi.msk.ru/account/1404239426/", 1404239426)</f>
        <v>1404239426</v>
      </c>
      <c r="D3479">
        <v>-10698.01</v>
      </c>
    </row>
    <row r="3480" spans="1:4" hidden="1" x14ac:dyDescent="0.25">
      <c r="A3480" t="s">
        <v>651</v>
      </c>
      <c r="B3480" t="s">
        <v>194</v>
      </c>
      <c r="C3480" s="2">
        <f>HYPERLINK("https://sao.dolgi.msk.ru/account/1404238829/", 1404238829)</f>
        <v>1404238829</v>
      </c>
      <c r="D3480">
        <v>0</v>
      </c>
    </row>
    <row r="3481" spans="1:4" hidden="1" x14ac:dyDescent="0.25">
      <c r="A3481" t="s">
        <v>651</v>
      </c>
      <c r="B3481" t="s">
        <v>195</v>
      </c>
      <c r="C3481" s="2">
        <f>HYPERLINK("https://sao.dolgi.msk.ru/account/1404240048/", 1404240048)</f>
        <v>1404240048</v>
      </c>
      <c r="D3481">
        <v>0</v>
      </c>
    </row>
    <row r="3482" spans="1:4" hidden="1" x14ac:dyDescent="0.25">
      <c r="A3482" t="s">
        <v>651</v>
      </c>
      <c r="B3482" t="s">
        <v>196</v>
      </c>
      <c r="C3482" s="2">
        <f>HYPERLINK("https://sao.dolgi.msk.ru/account/1404239573/", 1404239573)</f>
        <v>1404239573</v>
      </c>
      <c r="D3482">
        <v>-5000.43</v>
      </c>
    </row>
    <row r="3483" spans="1:4" hidden="1" x14ac:dyDescent="0.25">
      <c r="A3483" t="s">
        <v>651</v>
      </c>
      <c r="B3483" t="s">
        <v>197</v>
      </c>
      <c r="C3483" s="2">
        <f>HYPERLINK("https://sao.dolgi.msk.ru/account/1404239557/", 1404239557)</f>
        <v>1404239557</v>
      </c>
      <c r="D3483">
        <v>0</v>
      </c>
    </row>
    <row r="3484" spans="1:4" x14ac:dyDescent="0.25">
      <c r="A3484" t="s">
        <v>651</v>
      </c>
      <c r="B3484" t="s">
        <v>198</v>
      </c>
      <c r="C3484" s="2">
        <f>HYPERLINK("https://sao.dolgi.msk.ru/account/1404238896/", 1404238896)</f>
        <v>1404238896</v>
      </c>
      <c r="D3484">
        <v>8963.18</v>
      </c>
    </row>
    <row r="3485" spans="1:4" hidden="1" x14ac:dyDescent="0.25">
      <c r="A3485" t="s">
        <v>651</v>
      </c>
      <c r="B3485" t="s">
        <v>199</v>
      </c>
      <c r="C3485" s="2">
        <f>HYPERLINK("https://sao.dolgi.msk.ru/account/1404238634/", 1404238634)</f>
        <v>1404238634</v>
      </c>
      <c r="D3485">
        <v>-10121.84</v>
      </c>
    </row>
    <row r="3486" spans="1:4" hidden="1" x14ac:dyDescent="0.25">
      <c r="A3486" t="s">
        <v>651</v>
      </c>
      <c r="B3486" t="s">
        <v>200</v>
      </c>
      <c r="C3486" s="2">
        <f>HYPERLINK("https://sao.dolgi.msk.ru/account/1404238642/", 1404238642)</f>
        <v>1404238642</v>
      </c>
      <c r="D3486">
        <v>0</v>
      </c>
    </row>
    <row r="3487" spans="1:4" hidden="1" x14ac:dyDescent="0.25">
      <c r="A3487" t="s">
        <v>651</v>
      </c>
      <c r="B3487" t="s">
        <v>201</v>
      </c>
      <c r="C3487" s="2">
        <f>HYPERLINK("https://sao.dolgi.msk.ru/account/1404239581/", 1404239581)</f>
        <v>1404239581</v>
      </c>
      <c r="D3487">
        <v>-7263.02</v>
      </c>
    </row>
    <row r="3488" spans="1:4" hidden="1" x14ac:dyDescent="0.25">
      <c r="A3488" t="s">
        <v>651</v>
      </c>
      <c r="B3488" t="s">
        <v>202</v>
      </c>
      <c r="C3488" s="2">
        <f>HYPERLINK("https://sao.dolgi.msk.ru/account/1404240267/", 1404240267)</f>
        <v>1404240267</v>
      </c>
      <c r="D3488">
        <v>0</v>
      </c>
    </row>
    <row r="3489" spans="1:4" hidden="1" x14ac:dyDescent="0.25">
      <c r="A3489" t="s">
        <v>651</v>
      </c>
      <c r="B3489" t="s">
        <v>203</v>
      </c>
      <c r="C3489" s="2">
        <f>HYPERLINK("https://sao.dolgi.msk.ru/account/1404238079/", 1404238079)</f>
        <v>1404238079</v>
      </c>
      <c r="D3489">
        <v>0</v>
      </c>
    </row>
    <row r="3490" spans="1:4" hidden="1" x14ac:dyDescent="0.25">
      <c r="A3490" t="s">
        <v>651</v>
      </c>
      <c r="B3490" t="s">
        <v>204</v>
      </c>
      <c r="C3490" s="2">
        <f>HYPERLINK("https://sao.dolgi.msk.ru/account/1404238909/", 1404238909)</f>
        <v>1404238909</v>
      </c>
      <c r="D3490">
        <v>0</v>
      </c>
    </row>
    <row r="3491" spans="1:4" hidden="1" x14ac:dyDescent="0.25">
      <c r="A3491" t="s">
        <v>651</v>
      </c>
      <c r="B3491" t="s">
        <v>205</v>
      </c>
      <c r="C3491" s="2">
        <f>HYPERLINK("https://sao.dolgi.msk.ru/account/1404238669/", 1404238669)</f>
        <v>1404238669</v>
      </c>
      <c r="D3491">
        <v>0</v>
      </c>
    </row>
    <row r="3492" spans="1:4" hidden="1" x14ac:dyDescent="0.25">
      <c r="A3492" t="s">
        <v>651</v>
      </c>
      <c r="B3492" t="s">
        <v>206</v>
      </c>
      <c r="C3492" s="2">
        <f>HYPERLINK("https://sao.dolgi.msk.ru/account/1404239223/", 1404239223)</f>
        <v>1404239223</v>
      </c>
      <c r="D3492">
        <v>-8856.42</v>
      </c>
    </row>
    <row r="3493" spans="1:4" x14ac:dyDescent="0.25">
      <c r="A3493" t="s">
        <v>651</v>
      </c>
      <c r="B3493" t="s">
        <v>207</v>
      </c>
      <c r="C3493" s="2">
        <f>HYPERLINK("https://sao.dolgi.msk.ru/account/1404238693/", 1404238693)</f>
        <v>1404238693</v>
      </c>
      <c r="D3493">
        <v>3136.53</v>
      </c>
    </row>
    <row r="3494" spans="1:4" hidden="1" x14ac:dyDescent="0.25">
      <c r="A3494" t="s">
        <v>651</v>
      </c>
      <c r="B3494" t="s">
        <v>208</v>
      </c>
      <c r="C3494" s="2">
        <f>HYPERLINK("https://sao.dolgi.msk.ru/account/1404238917/", 1404238917)</f>
        <v>1404238917</v>
      </c>
      <c r="D3494">
        <v>-7290.54</v>
      </c>
    </row>
    <row r="3495" spans="1:4" x14ac:dyDescent="0.25">
      <c r="A3495" t="s">
        <v>651</v>
      </c>
      <c r="B3495" t="s">
        <v>209</v>
      </c>
      <c r="C3495" s="2">
        <f>HYPERLINK("https://sao.dolgi.msk.ru/account/1404240355/", 1404240355)</f>
        <v>1404240355</v>
      </c>
      <c r="D3495">
        <v>6238.07</v>
      </c>
    </row>
    <row r="3496" spans="1:4" hidden="1" x14ac:dyDescent="0.25">
      <c r="A3496" t="s">
        <v>651</v>
      </c>
      <c r="B3496" t="s">
        <v>210</v>
      </c>
      <c r="C3496" s="2">
        <f>HYPERLINK("https://sao.dolgi.msk.ru/account/1404238837/", 1404238837)</f>
        <v>1404238837</v>
      </c>
      <c r="D3496">
        <v>0</v>
      </c>
    </row>
    <row r="3497" spans="1:4" x14ac:dyDescent="0.25">
      <c r="A3497" t="s">
        <v>651</v>
      </c>
      <c r="B3497" t="s">
        <v>211</v>
      </c>
      <c r="C3497" s="2">
        <f>HYPERLINK("https://sao.dolgi.msk.ru/account/1404238298/", 1404238298)</f>
        <v>1404238298</v>
      </c>
      <c r="D3497">
        <v>9357.49</v>
      </c>
    </row>
    <row r="3498" spans="1:4" x14ac:dyDescent="0.25">
      <c r="A3498" t="s">
        <v>651</v>
      </c>
      <c r="B3498" t="s">
        <v>212</v>
      </c>
      <c r="C3498" s="2">
        <f>HYPERLINK("https://sao.dolgi.msk.ru/account/1404240347/", 1404240347)</f>
        <v>1404240347</v>
      </c>
      <c r="D3498">
        <v>4824.41</v>
      </c>
    </row>
    <row r="3499" spans="1:4" hidden="1" x14ac:dyDescent="0.25">
      <c r="A3499" t="s">
        <v>651</v>
      </c>
      <c r="B3499" t="s">
        <v>213</v>
      </c>
      <c r="C3499" s="2">
        <f>HYPERLINK("https://sao.dolgi.msk.ru/account/1404239231/", 1404239231)</f>
        <v>1404239231</v>
      </c>
      <c r="D3499">
        <v>0</v>
      </c>
    </row>
    <row r="3500" spans="1:4" hidden="1" x14ac:dyDescent="0.25">
      <c r="A3500" t="s">
        <v>651</v>
      </c>
      <c r="B3500" t="s">
        <v>214</v>
      </c>
      <c r="C3500" s="2">
        <f>HYPERLINK("https://sao.dolgi.msk.ru/account/1404237906/", 1404237906)</f>
        <v>1404237906</v>
      </c>
      <c r="D3500">
        <v>-7248.95</v>
      </c>
    </row>
    <row r="3501" spans="1:4" hidden="1" x14ac:dyDescent="0.25">
      <c r="A3501" t="s">
        <v>651</v>
      </c>
      <c r="B3501" t="s">
        <v>215</v>
      </c>
      <c r="C3501" s="2">
        <f>HYPERLINK("https://sao.dolgi.msk.ru/account/1404240515/", 1404240515)</f>
        <v>1404240515</v>
      </c>
      <c r="D3501">
        <v>0</v>
      </c>
    </row>
    <row r="3502" spans="1:4" x14ac:dyDescent="0.25">
      <c r="A3502" t="s">
        <v>651</v>
      </c>
      <c r="B3502" t="s">
        <v>216</v>
      </c>
      <c r="C3502" s="2">
        <f>HYPERLINK("https://sao.dolgi.msk.ru/account/1404237914/", 1404237914)</f>
        <v>1404237914</v>
      </c>
      <c r="D3502">
        <v>15824.9</v>
      </c>
    </row>
    <row r="3503" spans="1:4" hidden="1" x14ac:dyDescent="0.25">
      <c r="A3503" t="s">
        <v>651</v>
      </c>
      <c r="B3503" t="s">
        <v>217</v>
      </c>
      <c r="C3503" s="2">
        <f>HYPERLINK("https://sao.dolgi.msk.ru/account/1404240099/", 1404240099)</f>
        <v>1404240099</v>
      </c>
      <c r="D3503">
        <v>-3999.4</v>
      </c>
    </row>
    <row r="3504" spans="1:4" hidden="1" x14ac:dyDescent="0.25">
      <c r="A3504" t="s">
        <v>651</v>
      </c>
      <c r="B3504" t="s">
        <v>218</v>
      </c>
      <c r="C3504" s="2">
        <f>HYPERLINK("https://sao.dolgi.msk.ru/account/1404239856/", 1404239856)</f>
        <v>1404239856</v>
      </c>
      <c r="D3504">
        <v>0</v>
      </c>
    </row>
    <row r="3505" spans="1:4" hidden="1" x14ac:dyDescent="0.25">
      <c r="A3505" t="s">
        <v>651</v>
      </c>
      <c r="B3505" t="s">
        <v>219</v>
      </c>
      <c r="C3505" s="2">
        <f>HYPERLINK("https://sao.dolgi.msk.ru/account/1404239629/", 1404239629)</f>
        <v>1404239629</v>
      </c>
      <c r="D3505">
        <v>-6436.97</v>
      </c>
    </row>
    <row r="3506" spans="1:4" x14ac:dyDescent="0.25">
      <c r="A3506" t="s">
        <v>651</v>
      </c>
      <c r="B3506" t="s">
        <v>220</v>
      </c>
      <c r="C3506" s="2">
        <f>HYPERLINK("https://sao.dolgi.msk.ru/account/1404239637/", 1404239637)</f>
        <v>1404239637</v>
      </c>
      <c r="D3506">
        <v>7698.91</v>
      </c>
    </row>
    <row r="3507" spans="1:4" hidden="1" x14ac:dyDescent="0.25">
      <c r="A3507" t="s">
        <v>651</v>
      </c>
      <c r="B3507" t="s">
        <v>221</v>
      </c>
      <c r="C3507" s="2">
        <f>HYPERLINK("https://sao.dolgi.msk.ru/account/1404238685/", 1404238685)</f>
        <v>1404238685</v>
      </c>
      <c r="D3507">
        <v>-8144.01</v>
      </c>
    </row>
    <row r="3508" spans="1:4" hidden="1" x14ac:dyDescent="0.25">
      <c r="A3508" t="s">
        <v>651</v>
      </c>
      <c r="B3508" t="s">
        <v>222</v>
      </c>
      <c r="C3508" s="2">
        <f>HYPERLINK("https://sao.dolgi.msk.ru/account/1404238204/", 1404238204)</f>
        <v>1404238204</v>
      </c>
      <c r="D3508">
        <v>-2099.3200000000002</v>
      </c>
    </row>
    <row r="3509" spans="1:4" hidden="1" x14ac:dyDescent="0.25">
      <c r="A3509" t="s">
        <v>651</v>
      </c>
      <c r="B3509" t="s">
        <v>223</v>
      </c>
      <c r="C3509" s="2">
        <f>HYPERLINK("https://sao.dolgi.msk.ru/account/1404238212/", 1404238212)</f>
        <v>1404238212</v>
      </c>
      <c r="D3509">
        <v>0</v>
      </c>
    </row>
    <row r="3510" spans="1:4" hidden="1" x14ac:dyDescent="0.25">
      <c r="A3510" t="s">
        <v>651</v>
      </c>
      <c r="B3510" t="s">
        <v>224</v>
      </c>
      <c r="C3510" s="2">
        <f>HYPERLINK("https://sao.dolgi.msk.ru/account/1404240419/", 1404240419)</f>
        <v>1404240419</v>
      </c>
      <c r="D3510">
        <v>-3672.19</v>
      </c>
    </row>
    <row r="3511" spans="1:4" x14ac:dyDescent="0.25">
      <c r="A3511" t="s">
        <v>651</v>
      </c>
      <c r="B3511" t="s">
        <v>225</v>
      </c>
      <c r="C3511" s="2">
        <f>HYPERLINK("https://sao.dolgi.msk.ru/account/1404238239/", 1404238239)</f>
        <v>1404238239</v>
      </c>
      <c r="D3511">
        <v>5450.88</v>
      </c>
    </row>
    <row r="3512" spans="1:4" x14ac:dyDescent="0.25">
      <c r="A3512" t="s">
        <v>651</v>
      </c>
      <c r="B3512" t="s">
        <v>226</v>
      </c>
      <c r="C3512" s="2">
        <f>HYPERLINK("https://sao.dolgi.msk.ru/account/1404237981/", 1404237981)</f>
        <v>1404237981</v>
      </c>
      <c r="D3512">
        <v>7112.56</v>
      </c>
    </row>
    <row r="3513" spans="1:4" hidden="1" x14ac:dyDescent="0.25">
      <c r="A3513" t="s">
        <v>651</v>
      </c>
      <c r="B3513" t="s">
        <v>227</v>
      </c>
      <c r="C3513" s="2">
        <f>HYPERLINK("https://sao.dolgi.msk.ru/account/1404238941/", 1404238941)</f>
        <v>1404238941</v>
      </c>
      <c r="D3513">
        <v>-982.73</v>
      </c>
    </row>
    <row r="3514" spans="1:4" hidden="1" x14ac:dyDescent="0.25">
      <c r="A3514" t="s">
        <v>651</v>
      </c>
      <c r="B3514" t="s">
        <v>228</v>
      </c>
      <c r="C3514" s="2">
        <f>HYPERLINK("https://sao.dolgi.msk.ru/account/1404240101/", 1404240101)</f>
        <v>1404240101</v>
      </c>
      <c r="D3514">
        <v>0</v>
      </c>
    </row>
    <row r="3515" spans="1:4" hidden="1" x14ac:dyDescent="0.25">
      <c r="A3515" t="s">
        <v>651</v>
      </c>
      <c r="B3515" t="s">
        <v>229</v>
      </c>
      <c r="C3515" s="2">
        <f>HYPERLINK("https://sao.dolgi.msk.ru/account/1404238351/", 1404238351)</f>
        <v>1404238351</v>
      </c>
      <c r="D3515">
        <v>0</v>
      </c>
    </row>
    <row r="3516" spans="1:4" x14ac:dyDescent="0.25">
      <c r="A3516" t="s">
        <v>651</v>
      </c>
      <c r="B3516" t="s">
        <v>230</v>
      </c>
      <c r="C3516" s="2">
        <f>HYPERLINK("https://sao.dolgi.msk.ru/account/1404240582/", 1404240582)</f>
        <v>1404240582</v>
      </c>
      <c r="D3516">
        <v>26768.6</v>
      </c>
    </row>
    <row r="3517" spans="1:4" hidden="1" x14ac:dyDescent="0.25">
      <c r="A3517" t="s">
        <v>651</v>
      </c>
      <c r="B3517" t="s">
        <v>231</v>
      </c>
      <c r="C3517" s="2">
        <f>HYPERLINK("https://sao.dolgi.msk.ru/account/1404239645/", 1404239645)</f>
        <v>1404239645</v>
      </c>
      <c r="D3517">
        <v>-5226.43</v>
      </c>
    </row>
    <row r="3518" spans="1:4" hidden="1" x14ac:dyDescent="0.25">
      <c r="A3518" t="s">
        <v>651</v>
      </c>
      <c r="B3518" t="s">
        <v>232</v>
      </c>
      <c r="C3518" s="2">
        <f>HYPERLINK("https://sao.dolgi.msk.ru/account/1404240427/", 1404240427)</f>
        <v>1404240427</v>
      </c>
      <c r="D3518">
        <v>-3681.29</v>
      </c>
    </row>
    <row r="3519" spans="1:4" x14ac:dyDescent="0.25">
      <c r="A3519" t="s">
        <v>651</v>
      </c>
      <c r="B3519" t="s">
        <v>233</v>
      </c>
      <c r="C3519" s="2">
        <f>HYPERLINK("https://sao.dolgi.msk.ru/account/1404238378/", 1404238378)</f>
        <v>1404238378</v>
      </c>
      <c r="D3519">
        <v>10409.07</v>
      </c>
    </row>
    <row r="3520" spans="1:4" hidden="1" x14ac:dyDescent="0.25">
      <c r="A3520" t="s">
        <v>654</v>
      </c>
      <c r="B3520" t="s">
        <v>5</v>
      </c>
      <c r="C3520" s="2">
        <f>HYPERLINK("https://sao.dolgi.msk.ru/account/1404242414/", 1404242414)</f>
        <v>1404242414</v>
      </c>
      <c r="D3520">
        <v>-11963.46</v>
      </c>
    </row>
    <row r="3521" spans="1:4" x14ac:dyDescent="0.25">
      <c r="A3521" t="s">
        <v>654</v>
      </c>
      <c r="B3521" t="s">
        <v>6</v>
      </c>
      <c r="C3521" s="2">
        <f>HYPERLINK("https://sao.dolgi.msk.ru/account/1404241526/", 1404241526)</f>
        <v>1404241526</v>
      </c>
      <c r="D3521">
        <v>77660.91</v>
      </c>
    </row>
    <row r="3522" spans="1:4" hidden="1" x14ac:dyDescent="0.25">
      <c r="A3522" t="s">
        <v>654</v>
      </c>
      <c r="B3522" t="s">
        <v>7</v>
      </c>
      <c r="C3522" s="2">
        <f>HYPERLINK("https://sao.dolgi.msk.ru/account/1404240902/", 1404240902)</f>
        <v>1404240902</v>
      </c>
      <c r="D3522">
        <v>-163.22</v>
      </c>
    </row>
    <row r="3523" spans="1:4" hidden="1" x14ac:dyDescent="0.25">
      <c r="A3523" t="s">
        <v>654</v>
      </c>
      <c r="B3523" t="s">
        <v>8</v>
      </c>
      <c r="C3523" s="2">
        <f>HYPERLINK("https://sao.dolgi.msk.ru/account/1404241657/", 1404241657)</f>
        <v>1404241657</v>
      </c>
      <c r="D3523">
        <v>-10997.34</v>
      </c>
    </row>
    <row r="3524" spans="1:4" hidden="1" x14ac:dyDescent="0.25">
      <c r="A3524" t="s">
        <v>654</v>
      </c>
      <c r="B3524" t="s">
        <v>9</v>
      </c>
      <c r="C3524" s="2">
        <f>HYPERLINK("https://sao.dolgi.msk.ru/account/1404241024/", 1404241024)</f>
        <v>1404241024</v>
      </c>
      <c r="D3524">
        <v>-12575.55</v>
      </c>
    </row>
    <row r="3525" spans="1:4" hidden="1" x14ac:dyDescent="0.25">
      <c r="A3525" t="s">
        <v>654</v>
      </c>
      <c r="B3525" t="s">
        <v>10</v>
      </c>
      <c r="C3525" s="2">
        <f>HYPERLINK("https://sao.dolgi.msk.ru/account/1404243185/", 1404243185)</f>
        <v>1404243185</v>
      </c>
      <c r="D3525">
        <v>-5806.18</v>
      </c>
    </row>
    <row r="3526" spans="1:4" hidden="1" x14ac:dyDescent="0.25">
      <c r="A3526" t="s">
        <v>654</v>
      </c>
      <c r="B3526" t="s">
        <v>11</v>
      </c>
      <c r="C3526" s="2">
        <f>HYPERLINK("https://sao.dolgi.msk.ru/account/1404241315/", 1404241315)</f>
        <v>1404241315</v>
      </c>
      <c r="D3526">
        <v>0</v>
      </c>
    </row>
    <row r="3527" spans="1:4" hidden="1" x14ac:dyDescent="0.25">
      <c r="A3527" t="s">
        <v>654</v>
      </c>
      <c r="B3527" t="s">
        <v>12</v>
      </c>
      <c r="C3527" s="2">
        <f>HYPERLINK("https://sao.dolgi.msk.ru/account/1404241438/", 1404241438)</f>
        <v>1404241438</v>
      </c>
      <c r="D3527">
        <v>-13670.63</v>
      </c>
    </row>
    <row r="3528" spans="1:4" x14ac:dyDescent="0.25">
      <c r="A3528" t="s">
        <v>654</v>
      </c>
      <c r="B3528" t="s">
        <v>13</v>
      </c>
      <c r="C3528" s="2">
        <f>HYPERLINK("https://sao.dolgi.msk.ru/account/1404240822/", 1404240822)</f>
        <v>1404240822</v>
      </c>
      <c r="D3528">
        <v>828.72</v>
      </c>
    </row>
    <row r="3529" spans="1:4" x14ac:dyDescent="0.25">
      <c r="A3529" t="s">
        <v>654</v>
      </c>
      <c r="B3529" t="s">
        <v>14</v>
      </c>
      <c r="C3529" s="2">
        <f>HYPERLINK("https://sao.dolgi.msk.ru/account/1404243169/", 1404243169)</f>
        <v>1404243169</v>
      </c>
      <c r="D3529">
        <v>10035.68</v>
      </c>
    </row>
    <row r="3530" spans="1:4" hidden="1" x14ac:dyDescent="0.25">
      <c r="A3530" t="s">
        <v>654</v>
      </c>
      <c r="B3530" t="s">
        <v>15</v>
      </c>
      <c r="C3530" s="2">
        <f>HYPERLINK("https://sao.dolgi.msk.ru/account/1404243353/", 1404243353)</f>
        <v>1404243353</v>
      </c>
      <c r="D3530">
        <v>-6342.74</v>
      </c>
    </row>
    <row r="3531" spans="1:4" hidden="1" x14ac:dyDescent="0.25">
      <c r="A3531" t="s">
        <v>654</v>
      </c>
      <c r="B3531" t="s">
        <v>16</v>
      </c>
      <c r="C3531" s="2">
        <f>HYPERLINK("https://sao.dolgi.msk.ru/account/1404242174/", 1404242174)</f>
        <v>1404242174</v>
      </c>
      <c r="D3531">
        <v>0</v>
      </c>
    </row>
    <row r="3532" spans="1:4" hidden="1" x14ac:dyDescent="0.25">
      <c r="A3532" t="s">
        <v>654</v>
      </c>
      <c r="B3532" t="s">
        <v>17</v>
      </c>
      <c r="C3532" s="2">
        <f>HYPERLINK("https://sao.dolgi.msk.ru/account/1404242182/", 1404242182)</f>
        <v>1404242182</v>
      </c>
      <c r="D3532">
        <v>-10698.21</v>
      </c>
    </row>
    <row r="3533" spans="1:4" x14ac:dyDescent="0.25">
      <c r="A3533" t="s">
        <v>654</v>
      </c>
      <c r="B3533" t="s">
        <v>18</v>
      </c>
      <c r="C3533" s="2">
        <f>HYPERLINK("https://sao.dolgi.msk.ru/account/1404241171/", 1404241171)</f>
        <v>1404241171</v>
      </c>
      <c r="D3533">
        <v>59817.7</v>
      </c>
    </row>
    <row r="3534" spans="1:4" hidden="1" x14ac:dyDescent="0.25">
      <c r="A3534" t="s">
        <v>654</v>
      </c>
      <c r="B3534" t="s">
        <v>19</v>
      </c>
      <c r="C3534" s="2">
        <f>HYPERLINK("https://sao.dolgi.msk.ru/account/1404241921/", 1404241921)</f>
        <v>1404241921</v>
      </c>
      <c r="D3534">
        <v>-2259.2399999999998</v>
      </c>
    </row>
    <row r="3535" spans="1:4" hidden="1" x14ac:dyDescent="0.25">
      <c r="A3535" t="s">
        <v>654</v>
      </c>
      <c r="B3535" t="s">
        <v>20</v>
      </c>
      <c r="C3535" s="2">
        <f>HYPERLINK("https://sao.dolgi.msk.ru/account/1404240945/", 1404240945)</f>
        <v>1404240945</v>
      </c>
      <c r="D3535">
        <v>0</v>
      </c>
    </row>
    <row r="3536" spans="1:4" hidden="1" x14ac:dyDescent="0.25">
      <c r="A3536" t="s">
        <v>654</v>
      </c>
      <c r="B3536" t="s">
        <v>21</v>
      </c>
      <c r="C3536" s="2">
        <f>HYPERLINK("https://sao.dolgi.msk.ru/account/1404242342/", 1404242342)</f>
        <v>1404242342</v>
      </c>
      <c r="D3536">
        <v>0</v>
      </c>
    </row>
    <row r="3537" spans="1:4" hidden="1" x14ac:dyDescent="0.25">
      <c r="A3537" t="s">
        <v>654</v>
      </c>
      <c r="B3537" t="s">
        <v>22</v>
      </c>
      <c r="C3537" s="2">
        <f>HYPERLINK("https://sao.dolgi.msk.ru/account/1404242457/", 1404242457)</f>
        <v>1404242457</v>
      </c>
      <c r="D3537">
        <v>-3913.57</v>
      </c>
    </row>
    <row r="3538" spans="1:4" hidden="1" x14ac:dyDescent="0.25">
      <c r="A3538" t="s">
        <v>654</v>
      </c>
      <c r="B3538" t="s">
        <v>23</v>
      </c>
      <c r="C3538" s="2">
        <f>HYPERLINK("https://sao.dolgi.msk.ru/account/1404240726/", 1404240726)</f>
        <v>1404240726</v>
      </c>
      <c r="D3538">
        <v>-7335.06</v>
      </c>
    </row>
    <row r="3539" spans="1:4" hidden="1" x14ac:dyDescent="0.25">
      <c r="A3539" t="s">
        <v>654</v>
      </c>
      <c r="B3539" t="s">
        <v>24</v>
      </c>
      <c r="C3539" s="2">
        <f>HYPERLINK("https://sao.dolgi.msk.ru/account/1404242393/", 1404242393)</f>
        <v>1404242393</v>
      </c>
      <c r="D3539">
        <v>-1313.15</v>
      </c>
    </row>
    <row r="3540" spans="1:4" hidden="1" x14ac:dyDescent="0.25">
      <c r="A3540" t="s">
        <v>654</v>
      </c>
      <c r="B3540" t="s">
        <v>24</v>
      </c>
      <c r="C3540" s="2">
        <f>HYPERLINK("https://sao.dolgi.msk.ru/account/1404242502/", 1404242502)</f>
        <v>1404242502</v>
      </c>
      <c r="D3540">
        <v>-5485</v>
      </c>
    </row>
    <row r="3541" spans="1:4" hidden="1" x14ac:dyDescent="0.25">
      <c r="A3541" t="s">
        <v>654</v>
      </c>
      <c r="B3541" t="s">
        <v>25</v>
      </c>
      <c r="C3541" s="2">
        <f>HYPERLINK("https://sao.dolgi.msk.ru/account/1404241243/", 1404241243)</f>
        <v>1404241243</v>
      </c>
      <c r="D3541">
        <v>-13013.13</v>
      </c>
    </row>
    <row r="3542" spans="1:4" hidden="1" x14ac:dyDescent="0.25">
      <c r="A3542" t="s">
        <v>654</v>
      </c>
      <c r="B3542" t="s">
        <v>26</v>
      </c>
      <c r="C3542" s="2">
        <f>HYPERLINK("https://sao.dolgi.msk.ru/account/1404242625/", 1404242625)</f>
        <v>1404242625</v>
      </c>
      <c r="D3542">
        <v>-7619.95</v>
      </c>
    </row>
    <row r="3543" spans="1:4" hidden="1" x14ac:dyDescent="0.25">
      <c r="A3543" t="s">
        <v>654</v>
      </c>
      <c r="B3543" t="s">
        <v>27</v>
      </c>
      <c r="C3543" s="2">
        <f>HYPERLINK("https://sao.dolgi.msk.ru/account/1404242246/", 1404242246)</f>
        <v>1404242246</v>
      </c>
      <c r="D3543">
        <v>0</v>
      </c>
    </row>
    <row r="3544" spans="1:4" x14ac:dyDescent="0.25">
      <c r="A3544" t="s">
        <v>654</v>
      </c>
      <c r="B3544" t="s">
        <v>28</v>
      </c>
      <c r="C3544" s="2">
        <f>HYPERLINK("https://sao.dolgi.msk.ru/account/1404242254/", 1404242254)</f>
        <v>1404242254</v>
      </c>
      <c r="D3544">
        <v>4757.51</v>
      </c>
    </row>
    <row r="3545" spans="1:4" hidden="1" x14ac:dyDescent="0.25">
      <c r="A3545" t="s">
        <v>654</v>
      </c>
      <c r="B3545" t="s">
        <v>29</v>
      </c>
      <c r="C3545" s="2">
        <f>HYPERLINK("https://sao.dolgi.msk.ru/account/1404242967/", 1404242967)</f>
        <v>1404242967</v>
      </c>
      <c r="D3545">
        <v>-6994.79</v>
      </c>
    </row>
    <row r="3546" spans="1:4" hidden="1" x14ac:dyDescent="0.25">
      <c r="A3546" t="s">
        <v>654</v>
      </c>
      <c r="B3546" t="s">
        <v>30</v>
      </c>
      <c r="C3546" s="2">
        <f>HYPERLINK("https://sao.dolgi.msk.ru/account/1404242633/", 1404242633)</f>
        <v>1404242633</v>
      </c>
      <c r="D3546">
        <v>0</v>
      </c>
    </row>
    <row r="3547" spans="1:4" hidden="1" x14ac:dyDescent="0.25">
      <c r="A3547" t="s">
        <v>654</v>
      </c>
      <c r="B3547" t="s">
        <v>31</v>
      </c>
      <c r="C3547" s="2">
        <f>HYPERLINK("https://sao.dolgi.msk.ru/account/1404240881/", 1404240881)</f>
        <v>1404240881</v>
      </c>
      <c r="D3547">
        <v>-5600.55</v>
      </c>
    </row>
    <row r="3548" spans="1:4" x14ac:dyDescent="0.25">
      <c r="A3548" t="s">
        <v>654</v>
      </c>
      <c r="B3548" t="s">
        <v>32</v>
      </c>
      <c r="C3548" s="2">
        <f>HYPERLINK("https://sao.dolgi.msk.ru/account/1404241251/", 1404241251)</f>
        <v>1404241251</v>
      </c>
      <c r="D3548">
        <v>6465.16</v>
      </c>
    </row>
    <row r="3549" spans="1:4" hidden="1" x14ac:dyDescent="0.25">
      <c r="A3549" t="s">
        <v>654</v>
      </c>
      <c r="B3549" t="s">
        <v>33</v>
      </c>
      <c r="C3549" s="2">
        <f>HYPERLINK("https://sao.dolgi.msk.ru/account/1404242975/", 1404242975)</f>
        <v>1404242975</v>
      </c>
      <c r="D3549">
        <v>-8893.99</v>
      </c>
    </row>
    <row r="3550" spans="1:4" hidden="1" x14ac:dyDescent="0.25">
      <c r="A3550" t="s">
        <v>654</v>
      </c>
      <c r="B3550" t="s">
        <v>34</v>
      </c>
      <c r="C3550" s="2">
        <f>HYPERLINK("https://sao.dolgi.msk.ru/account/1404242262/", 1404242262)</f>
        <v>1404242262</v>
      </c>
      <c r="D3550">
        <v>-7269.05</v>
      </c>
    </row>
    <row r="3551" spans="1:4" hidden="1" x14ac:dyDescent="0.25">
      <c r="A3551" t="s">
        <v>654</v>
      </c>
      <c r="B3551" t="s">
        <v>35</v>
      </c>
      <c r="C3551" s="2">
        <f>HYPERLINK("https://sao.dolgi.msk.ru/account/1404240929/", 1404240929)</f>
        <v>1404240929</v>
      </c>
      <c r="D3551">
        <v>-9053.27</v>
      </c>
    </row>
    <row r="3552" spans="1:4" hidden="1" x14ac:dyDescent="0.25">
      <c r="A3552" t="s">
        <v>654</v>
      </c>
      <c r="B3552" t="s">
        <v>36</v>
      </c>
      <c r="C3552" s="2">
        <f>HYPERLINK("https://sao.dolgi.msk.ru/account/1404242289/", 1404242289)</f>
        <v>1404242289</v>
      </c>
      <c r="D3552">
        <v>-12652.79</v>
      </c>
    </row>
    <row r="3553" spans="1:4" hidden="1" x14ac:dyDescent="0.25">
      <c r="A3553" t="s">
        <v>654</v>
      </c>
      <c r="B3553" t="s">
        <v>37</v>
      </c>
      <c r="C3553" s="2">
        <f>HYPERLINK("https://sao.dolgi.msk.ru/account/1404241278/", 1404241278)</f>
        <v>1404241278</v>
      </c>
      <c r="D3553">
        <v>0</v>
      </c>
    </row>
    <row r="3554" spans="1:4" hidden="1" x14ac:dyDescent="0.25">
      <c r="A3554" t="s">
        <v>654</v>
      </c>
      <c r="B3554" t="s">
        <v>38</v>
      </c>
      <c r="C3554" s="2">
        <f>HYPERLINK("https://sao.dolgi.msk.ru/account/1404242297/", 1404242297)</f>
        <v>1404242297</v>
      </c>
      <c r="D3554">
        <v>0</v>
      </c>
    </row>
    <row r="3555" spans="1:4" hidden="1" x14ac:dyDescent="0.25">
      <c r="A3555" t="s">
        <v>654</v>
      </c>
      <c r="B3555" t="s">
        <v>39</v>
      </c>
      <c r="C3555" s="2">
        <f>HYPERLINK("https://sao.dolgi.msk.ru/account/1404243337/", 1404243337)</f>
        <v>1404243337</v>
      </c>
      <c r="D3555">
        <v>-4469.6899999999996</v>
      </c>
    </row>
    <row r="3556" spans="1:4" hidden="1" x14ac:dyDescent="0.25">
      <c r="A3556" t="s">
        <v>654</v>
      </c>
      <c r="B3556" t="s">
        <v>40</v>
      </c>
      <c r="C3556" s="2">
        <f>HYPERLINK("https://sao.dolgi.msk.ru/account/1404242641/", 1404242641)</f>
        <v>1404242641</v>
      </c>
      <c r="D3556">
        <v>0</v>
      </c>
    </row>
    <row r="3557" spans="1:4" hidden="1" x14ac:dyDescent="0.25">
      <c r="A3557" t="s">
        <v>654</v>
      </c>
      <c r="B3557" t="s">
        <v>41</v>
      </c>
      <c r="C3557" s="2">
        <f>HYPERLINK("https://sao.dolgi.msk.ru/account/1404242668/", 1404242668)</f>
        <v>1404242668</v>
      </c>
      <c r="D3557">
        <v>-8056.12</v>
      </c>
    </row>
    <row r="3558" spans="1:4" hidden="1" x14ac:dyDescent="0.25">
      <c r="A3558" t="s">
        <v>654</v>
      </c>
      <c r="B3558" t="s">
        <v>42</v>
      </c>
      <c r="C3558" s="2">
        <f>HYPERLINK("https://sao.dolgi.msk.ru/account/1404242676/", 1404242676)</f>
        <v>1404242676</v>
      </c>
      <c r="D3558">
        <v>-5306.33</v>
      </c>
    </row>
    <row r="3559" spans="1:4" hidden="1" x14ac:dyDescent="0.25">
      <c r="A3559" t="s">
        <v>654</v>
      </c>
      <c r="B3559" t="s">
        <v>43</v>
      </c>
      <c r="C3559" s="2">
        <f>HYPERLINK("https://sao.dolgi.msk.ru/account/1404241059/", 1404241059)</f>
        <v>1404241059</v>
      </c>
      <c r="D3559">
        <v>0</v>
      </c>
    </row>
    <row r="3560" spans="1:4" hidden="1" x14ac:dyDescent="0.25">
      <c r="A3560" t="s">
        <v>654</v>
      </c>
      <c r="B3560" t="s">
        <v>43</v>
      </c>
      <c r="C3560" s="2">
        <f>HYPERLINK("https://sao.dolgi.msk.ru/account/1404242318/", 1404242318)</f>
        <v>1404242318</v>
      </c>
      <c r="D3560">
        <v>0</v>
      </c>
    </row>
    <row r="3561" spans="1:4" hidden="1" x14ac:dyDescent="0.25">
      <c r="A3561" t="s">
        <v>654</v>
      </c>
      <c r="B3561" t="s">
        <v>44</v>
      </c>
      <c r="C3561" s="2">
        <f>HYPERLINK("https://sao.dolgi.msk.ru/account/1404242684/", 1404242684)</f>
        <v>1404242684</v>
      </c>
      <c r="D3561">
        <v>-652.09</v>
      </c>
    </row>
    <row r="3562" spans="1:4" hidden="1" x14ac:dyDescent="0.25">
      <c r="A3562" t="s">
        <v>654</v>
      </c>
      <c r="B3562" t="s">
        <v>45</v>
      </c>
      <c r="C3562" s="2">
        <f>HYPERLINK("https://sao.dolgi.msk.ru/account/1404242692/", 1404242692)</f>
        <v>1404242692</v>
      </c>
      <c r="D3562">
        <v>-10990.54</v>
      </c>
    </row>
    <row r="3563" spans="1:4" hidden="1" x14ac:dyDescent="0.25">
      <c r="A3563" t="s">
        <v>654</v>
      </c>
      <c r="B3563" t="s">
        <v>46</v>
      </c>
      <c r="C3563" s="2">
        <f>HYPERLINK("https://sao.dolgi.msk.ru/account/1404241665/", 1404241665)</f>
        <v>1404241665</v>
      </c>
      <c r="D3563">
        <v>0</v>
      </c>
    </row>
    <row r="3564" spans="1:4" hidden="1" x14ac:dyDescent="0.25">
      <c r="A3564" t="s">
        <v>654</v>
      </c>
      <c r="B3564" t="s">
        <v>47</v>
      </c>
      <c r="C3564" s="2">
        <f>HYPERLINK("https://sao.dolgi.msk.ru/account/1404242983/", 1404242983)</f>
        <v>1404242983</v>
      </c>
      <c r="D3564">
        <v>-6957.13</v>
      </c>
    </row>
    <row r="3565" spans="1:4" hidden="1" x14ac:dyDescent="0.25">
      <c r="A3565" t="s">
        <v>654</v>
      </c>
      <c r="B3565" t="s">
        <v>48</v>
      </c>
      <c r="C3565" s="2">
        <f>HYPERLINK("https://sao.dolgi.msk.ru/account/1404240937/", 1404240937)</f>
        <v>1404240937</v>
      </c>
      <c r="D3565">
        <v>0</v>
      </c>
    </row>
    <row r="3566" spans="1:4" hidden="1" x14ac:dyDescent="0.25">
      <c r="A3566" t="s">
        <v>654</v>
      </c>
      <c r="B3566" t="s">
        <v>48</v>
      </c>
      <c r="C3566" s="2">
        <f>HYPERLINK("https://sao.dolgi.msk.ru/account/1404242043/", 1404242043)</f>
        <v>1404242043</v>
      </c>
      <c r="D3566">
        <v>0</v>
      </c>
    </row>
    <row r="3567" spans="1:4" hidden="1" x14ac:dyDescent="0.25">
      <c r="A3567" t="s">
        <v>654</v>
      </c>
      <c r="B3567" t="s">
        <v>49</v>
      </c>
      <c r="C3567" s="2">
        <f>HYPERLINK("https://sao.dolgi.msk.ru/account/1404242086/", 1404242086)</f>
        <v>1404242086</v>
      </c>
      <c r="D3567">
        <v>0</v>
      </c>
    </row>
    <row r="3568" spans="1:4" hidden="1" x14ac:dyDescent="0.25">
      <c r="A3568" t="s">
        <v>654</v>
      </c>
      <c r="B3568" t="s">
        <v>50</v>
      </c>
      <c r="C3568" s="2">
        <f>HYPERLINK("https://sao.dolgi.msk.ru/account/1404241366/", 1404241366)</f>
        <v>1404241366</v>
      </c>
      <c r="D3568">
        <v>-3262.08</v>
      </c>
    </row>
    <row r="3569" spans="1:4" hidden="1" x14ac:dyDescent="0.25">
      <c r="A3569" t="s">
        <v>654</v>
      </c>
      <c r="B3569" t="s">
        <v>51</v>
      </c>
      <c r="C3569" s="2">
        <f>HYPERLINK("https://sao.dolgi.msk.ru/account/1404243361/", 1404243361)</f>
        <v>1404243361</v>
      </c>
      <c r="D3569">
        <v>-34537.120000000003</v>
      </c>
    </row>
    <row r="3570" spans="1:4" hidden="1" x14ac:dyDescent="0.25">
      <c r="A3570" t="s">
        <v>654</v>
      </c>
      <c r="B3570" t="s">
        <v>52</v>
      </c>
      <c r="C3570" s="2">
        <f>HYPERLINK("https://sao.dolgi.msk.ru/account/1404242094/", 1404242094)</f>
        <v>1404242094</v>
      </c>
      <c r="D3570">
        <v>-8305.2900000000009</v>
      </c>
    </row>
    <row r="3571" spans="1:4" hidden="1" x14ac:dyDescent="0.25">
      <c r="A3571" t="s">
        <v>654</v>
      </c>
      <c r="B3571" t="s">
        <v>53</v>
      </c>
      <c r="C3571" s="2">
        <f>HYPERLINK("https://sao.dolgi.msk.ru/account/1404242385/", 1404242385)</f>
        <v>1404242385</v>
      </c>
      <c r="D3571">
        <v>-6700.81</v>
      </c>
    </row>
    <row r="3572" spans="1:4" hidden="1" x14ac:dyDescent="0.25">
      <c r="A3572" t="s">
        <v>654</v>
      </c>
      <c r="B3572" t="s">
        <v>54</v>
      </c>
      <c r="C3572" s="2">
        <f>HYPERLINK("https://sao.dolgi.msk.ru/account/1404243388/", 1404243388)</f>
        <v>1404243388</v>
      </c>
      <c r="D3572">
        <v>-6663.87</v>
      </c>
    </row>
    <row r="3573" spans="1:4" hidden="1" x14ac:dyDescent="0.25">
      <c r="A3573" t="s">
        <v>654</v>
      </c>
      <c r="B3573" t="s">
        <v>55</v>
      </c>
      <c r="C3573" s="2">
        <f>HYPERLINK("https://sao.dolgi.msk.ru/account/1404241374/", 1404241374)</f>
        <v>1404241374</v>
      </c>
      <c r="D3573">
        <v>-5427.03</v>
      </c>
    </row>
    <row r="3574" spans="1:4" hidden="1" x14ac:dyDescent="0.25">
      <c r="A3574" t="s">
        <v>654</v>
      </c>
      <c r="B3574" t="s">
        <v>56</v>
      </c>
      <c r="C3574" s="2">
        <f>HYPERLINK("https://sao.dolgi.msk.ru/account/1404241382/", 1404241382)</f>
        <v>1404241382</v>
      </c>
      <c r="D3574">
        <v>-14159.27</v>
      </c>
    </row>
    <row r="3575" spans="1:4" hidden="1" x14ac:dyDescent="0.25">
      <c r="A3575" t="s">
        <v>654</v>
      </c>
      <c r="B3575" t="s">
        <v>57</v>
      </c>
      <c r="C3575" s="2">
        <f>HYPERLINK("https://sao.dolgi.msk.ru/account/1404242377/", 1404242377)</f>
        <v>1404242377</v>
      </c>
      <c r="D3575">
        <v>-8411.32</v>
      </c>
    </row>
    <row r="3576" spans="1:4" hidden="1" x14ac:dyDescent="0.25">
      <c r="A3576" t="s">
        <v>654</v>
      </c>
      <c r="B3576" t="s">
        <v>57</v>
      </c>
      <c r="C3576" s="2">
        <f>HYPERLINK("https://sao.dolgi.msk.ru/account/1404243118/", 1404243118)</f>
        <v>1404243118</v>
      </c>
      <c r="D3576">
        <v>-2143.87</v>
      </c>
    </row>
    <row r="3577" spans="1:4" x14ac:dyDescent="0.25">
      <c r="A3577" t="s">
        <v>654</v>
      </c>
      <c r="B3577" t="s">
        <v>58</v>
      </c>
      <c r="C3577" s="2">
        <f>HYPERLINK("https://sao.dolgi.msk.ru/account/1404241032/", 1404241032)</f>
        <v>1404241032</v>
      </c>
      <c r="D3577">
        <v>9308.86</v>
      </c>
    </row>
    <row r="3578" spans="1:4" hidden="1" x14ac:dyDescent="0.25">
      <c r="A3578" t="s">
        <v>654</v>
      </c>
      <c r="B3578" t="s">
        <v>59</v>
      </c>
      <c r="C3578" s="2">
        <f>HYPERLINK("https://sao.dolgi.msk.ru/account/1404243177/", 1404243177)</f>
        <v>1404243177</v>
      </c>
      <c r="D3578">
        <v>-4805.68</v>
      </c>
    </row>
    <row r="3579" spans="1:4" hidden="1" x14ac:dyDescent="0.25">
      <c r="A3579" t="s">
        <v>654</v>
      </c>
      <c r="B3579" t="s">
        <v>60</v>
      </c>
      <c r="C3579" s="2">
        <f>HYPERLINK("https://sao.dolgi.msk.ru/account/1404240689/", 1404240689)</f>
        <v>1404240689</v>
      </c>
      <c r="D3579">
        <v>-11071.61</v>
      </c>
    </row>
    <row r="3580" spans="1:4" hidden="1" x14ac:dyDescent="0.25">
      <c r="A3580" t="s">
        <v>654</v>
      </c>
      <c r="B3580" t="s">
        <v>61</v>
      </c>
      <c r="C3580" s="2">
        <f>HYPERLINK("https://sao.dolgi.msk.ru/account/1404242422/", 1404242422)</f>
        <v>1404242422</v>
      </c>
      <c r="D3580">
        <v>-10512.35</v>
      </c>
    </row>
    <row r="3581" spans="1:4" hidden="1" x14ac:dyDescent="0.25">
      <c r="A3581" t="s">
        <v>654</v>
      </c>
      <c r="B3581" t="s">
        <v>62</v>
      </c>
      <c r="C3581" s="2">
        <f>HYPERLINK("https://sao.dolgi.msk.ru/account/1404241796/", 1404241796)</f>
        <v>1404241796</v>
      </c>
      <c r="D3581">
        <v>0</v>
      </c>
    </row>
    <row r="3582" spans="1:4" hidden="1" x14ac:dyDescent="0.25">
      <c r="A3582" t="s">
        <v>654</v>
      </c>
      <c r="B3582" t="s">
        <v>63</v>
      </c>
      <c r="C3582" s="2">
        <f>HYPERLINK("https://sao.dolgi.msk.ru/account/1404241809/", 1404241809)</f>
        <v>1404241809</v>
      </c>
      <c r="D3582">
        <v>0</v>
      </c>
    </row>
    <row r="3583" spans="1:4" hidden="1" x14ac:dyDescent="0.25">
      <c r="A3583" t="s">
        <v>654</v>
      </c>
      <c r="B3583" t="s">
        <v>64</v>
      </c>
      <c r="C3583" s="2">
        <f>HYPERLINK("https://sao.dolgi.msk.ru/account/1404241454/", 1404241454)</f>
        <v>1404241454</v>
      </c>
      <c r="D3583">
        <v>0</v>
      </c>
    </row>
    <row r="3584" spans="1:4" x14ac:dyDescent="0.25">
      <c r="A3584" t="s">
        <v>654</v>
      </c>
      <c r="B3584" t="s">
        <v>65</v>
      </c>
      <c r="C3584" s="2">
        <f>HYPERLINK("https://sao.dolgi.msk.ru/account/1404241956/", 1404241956)</f>
        <v>1404241956</v>
      </c>
      <c r="D3584">
        <v>1438.65</v>
      </c>
    </row>
    <row r="3585" spans="1:4" hidden="1" x14ac:dyDescent="0.25">
      <c r="A3585" t="s">
        <v>654</v>
      </c>
      <c r="B3585" t="s">
        <v>65</v>
      </c>
      <c r="C3585" s="2">
        <f>HYPERLINK("https://sao.dolgi.msk.ru/account/1404242115/", 1404242115)</f>
        <v>1404242115</v>
      </c>
      <c r="D3585">
        <v>0</v>
      </c>
    </row>
    <row r="3586" spans="1:4" hidden="1" x14ac:dyDescent="0.25">
      <c r="A3586" t="s">
        <v>654</v>
      </c>
      <c r="B3586" t="s">
        <v>66</v>
      </c>
      <c r="C3586" s="2">
        <f>HYPERLINK("https://sao.dolgi.msk.ru/account/1404243193/", 1404243193)</f>
        <v>1404243193</v>
      </c>
      <c r="D3586">
        <v>-7101.96</v>
      </c>
    </row>
    <row r="3587" spans="1:4" hidden="1" x14ac:dyDescent="0.25">
      <c r="A3587" t="s">
        <v>654</v>
      </c>
      <c r="B3587" t="s">
        <v>67</v>
      </c>
      <c r="C3587" s="2">
        <f>HYPERLINK("https://sao.dolgi.msk.ru/account/1404241075/", 1404241075)</f>
        <v>1404241075</v>
      </c>
      <c r="D3587">
        <v>-6202.11</v>
      </c>
    </row>
    <row r="3588" spans="1:4" hidden="1" x14ac:dyDescent="0.25">
      <c r="A3588" t="s">
        <v>654</v>
      </c>
      <c r="B3588" t="s">
        <v>68</v>
      </c>
      <c r="C3588" s="2">
        <f>HYPERLINK("https://sao.dolgi.msk.ru/account/1404242027/", 1404242027)</f>
        <v>1404242027</v>
      </c>
      <c r="D3588">
        <v>0</v>
      </c>
    </row>
    <row r="3589" spans="1:4" hidden="1" x14ac:dyDescent="0.25">
      <c r="A3589" t="s">
        <v>654</v>
      </c>
      <c r="B3589" t="s">
        <v>69</v>
      </c>
      <c r="C3589" s="2">
        <f>HYPERLINK("https://sao.dolgi.msk.ru/account/1404241702/", 1404241702)</f>
        <v>1404241702</v>
      </c>
      <c r="D3589">
        <v>-143.88999999999999</v>
      </c>
    </row>
    <row r="3590" spans="1:4" hidden="1" x14ac:dyDescent="0.25">
      <c r="A3590" t="s">
        <v>654</v>
      </c>
      <c r="B3590" t="s">
        <v>69</v>
      </c>
      <c r="C3590" s="2">
        <f>HYPERLINK("https://sao.dolgi.msk.ru/account/1404243054/", 1404243054)</f>
        <v>1404243054</v>
      </c>
      <c r="D3590">
        <v>0</v>
      </c>
    </row>
    <row r="3591" spans="1:4" hidden="1" x14ac:dyDescent="0.25">
      <c r="A3591" t="s">
        <v>654</v>
      </c>
      <c r="B3591" t="s">
        <v>70</v>
      </c>
      <c r="C3591" s="2">
        <f>HYPERLINK("https://sao.dolgi.msk.ru/account/1404240988/", 1404240988)</f>
        <v>1404240988</v>
      </c>
      <c r="D3591">
        <v>-191.35</v>
      </c>
    </row>
    <row r="3592" spans="1:4" hidden="1" x14ac:dyDescent="0.25">
      <c r="A3592" t="s">
        <v>654</v>
      </c>
      <c r="B3592" t="s">
        <v>71</v>
      </c>
      <c r="C3592" s="2">
        <f>HYPERLINK("https://sao.dolgi.msk.ru/account/1404240996/", 1404240996)</f>
        <v>1404240996</v>
      </c>
      <c r="D3592">
        <v>-9673.11</v>
      </c>
    </row>
    <row r="3593" spans="1:4" hidden="1" x14ac:dyDescent="0.25">
      <c r="A3593" t="s">
        <v>654</v>
      </c>
      <c r="B3593" t="s">
        <v>72</v>
      </c>
      <c r="C3593" s="2">
        <f>HYPERLINK("https://sao.dolgi.msk.ru/account/1404241307/", 1404241307)</f>
        <v>1404241307</v>
      </c>
      <c r="D3593">
        <v>-18004.240000000002</v>
      </c>
    </row>
    <row r="3594" spans="1:4" hidden="1" x14ac:dyDescent="0.25">
      <c r="A3594" t="s">
        <v>654</v>
      </c>
      <c r="B3594" t="s">
        <v>73</v>
      </c>
      <c r="C3594" s="2">
        <f>HYPERLINK("https://sao.dolgi.msk.ru/account/1404242035/", 1404242035)</f>
        <v>1404242035</v>
      </c>
      <c r="D3594">
        <v>-2140.4</v>
      </c>
    </row>
    <row r="3595" spans="1:4" hidden="1" x14ac:dyDescent="0.25">
      <c r="A3595" t="s">
        <v>654</v>
      </c>
      <c r="B3595" t="s">
        <v>74</v>
      </c>
      <c r="C3595" s="2">
        <f>HYPERLINK("https://sao.dolgi.msk.ru/account/1404241008/", 1404241008)</f>
        <v>1404241008</v>
      </c>
      <c r="D3595">
        <v>0</v>
      </c>
    </row>
    <row r="3596" spans="1:4" hidden="1" x14ac:dyDescent="0.25">
      <c r="A3596" t="s">
        <v>654</v>
      </c>
      <c r="B3596" t="s">
        <v>75</v>
      </c>
      <c r="C3596" s="2">
        <f>HYPERLINK("https://sao.dolgi.msk.ru/account/1404241323/", 1404241323)</f>
        <v>1404241323</v>
      </c>
      <c r="D3596">
        <v>-4824.13</v>
      </c>
    </row>
    <row r="3597" spans="1:4" x14ac:dyDescent="0.25">
      <c r="A3597" t="s">
        <v>654</v>
      </c>
      <c r="B3597" t="s">
        <v>76</v>
      </c>
      <c r="C3597" s="2">
        <f>HYPERLINK("https://sao.dolgi.msk.ru/account/1404243062/", 1404243062)</f>
        <v>1404243062</v>
      </c>
      <c r="D3597">
        <v>29275.89</v>
      </c>
    </row>
    <row r="3598" spans="1:4" hidden="1" x14ac:dyDescent="0.25">
      <c r="A3598" t="s">
        <v>654</v>
      </c>
      <c r="B3598" t="s">
        <v>77</v>
      </c>
      <c r="C3598" s="2">
        <f>HYPERLINK("https://sao.dolgi.msk.ru/account/1404241681/", 1404241681)</f>
        <v>1404241681</v>
      </c>
      <c r="D3598">
        <v>-7400.21</v>
      </c>
    </row>
    <row r="3599" spans="1:4" hidden="1" x14ac:dyDescent="0.25">
      <c r="A3599" t="s">
        <v>654</v>
      </c>
      <c r="B3599" t="s">
        <v>78</v>
      </c>
      <c r="C3599" s="2">
        <f>HYPERLINK("https://sao.dolgi.msk.ru/account/1404243134/", 1404243134)</f>
        <v>1404243134</v>
      </c>
      <c r="D3599">
        <v>-3515.52</v>
      </c>
    </row>
    <row r="3600" spans="1:4" hidden="1" x14ac:dyDescent="0.25">
      <c r="A3600" t="s">
        <v>654</v>
      </c>
      <c r="B3600" t="s">
        <v>79</v>
      </c>
      <c r="C3600" s="2">
        <f>HYPERLINK("https://sao.dolgi.msk.ru/account/1404242107/", 1404242107)</f>
        <v>1404242107</v>
      </c>
      <c r="D3600">
        <v>-1898.29</v>
      </c>
    </row>
    <row r="3601" spans="1:4" hidden="1" x14ac:dyDescent="0.25">
      <c r="A3601" t="s">
        <v>654</v>
      </c>
      <c r="B3601" t="s">
        <v>80</v>
      </c>
      <c r="C3601" s="2">
        <f>HYPERLINK("https://sao.dolgi.msk.ru/account/1404241411/", 1404241411)</f>
        <v>1404241411</v>
      </c>
      <c r="D3601">
        <v>-5477.6</v>
      </c>
    </row>
    <row r="3602" spans="1:4" hidden="1" x14ac:dyDescent="0.25">
      <c r="A3602" t="s">
        <v>654</v>
      </c>
      <c r="B3602" t="s">
        <v>81</v>
      </c>
      <c r="C3602" s="2">
        <f>HYPERLINK("https://sao.dolgi.msk.ru/account/1404241753/", 1404241753)</f>
        <v>1404241753</v>
      </c>
      <c r="D3602">
        <v>-8620.27</v>
      </c>
    </row>
    <row r="3603" spans="1:4" hidden="1" x14ac:dyDescent="0.25">
      <c r="A3603" t="s">
        <v>654</v>
      </c>
      <c r="B3603" t="s">
        <v>82</v>
      </c>
      <c r="C3603" s="2">
        <f>HYPERLINK("https://sao.dolgi.msk.ru/account/1404241761/", 1404241761)</f>
        <v>1404241761</v>
      </c>
      <c r="D3603">
        <v>-3665.25</v>
      </c>
    </row>
    <row r="3604" spans="1:4" hidden="1" x14ac:dyDescent="0.25">
      <c r="A3604" t="s">
        <v>654</v>
      </c>
      <c r="B3604" t="s">
        <v>82</v>
      </c>
      <c r="C3604" s="2">
        <f>HYPERLINK("https://sao.dolgi.msk.ru/account/1404242772/", 1404242772)</f>
        <v>1404242772</v>
      </c>
      <c r="D3604">
        <v>-3405.25</v>
      </c>
    </row>
    <row r="3605" spans="1:4" hidden="1" x14ac:dyDescent="0.25">
      <c r="A3605" t="s">
        <v>654</v>
      </c>
      <c r="B3605" t="s">
        <v>83</v>
      </c>
      <c r="C3605" s="2">
        <f>HYPERLINK("https://sao.dolgi.msk.ru/account/1404243142/", 1404243142)</f>
        <v>1404243142</v>
      </c>
      <c r="D3605">
        <v>-6939.39</v>
      </c>
    </row>
    <row r="3606" spans="1:4" x14ac:dyDescent="0.25">
      <c r="A3606" t="s">
        <v>654</v>
      </c>
      <c r="B3606" t="s">
        <v>84</v>
      </c>
      <c r="C3606" s="2">
        <f>HYPERLINK("https://sao.dolgi.msk.ru/account/1404241446/", 1404241446)</f>
        <v>1404241446</v>
      </c>
      <c r="D3606">
        <v>28995.16</v>
      </c>
    </row>
    <row r="3607" spans="1:4" hidden="1" x14ac:dyDescent="0.25">
      <c r="A3607" t="s">
        <v>654</v>
      </c>
      <c r="B3607" t="s">
        <v>85</v>
      </c>
      <c r="C3607" s="2">
        <f>HYPERLINK("https://sao.dolgi.msk.ru/account/1404242406/", 1404242406)</f>
        <v>1404242406</v>
      </c>
      <c r="D3607">
        <v>0</v>
      </c>
    </row>
    <row r="3608" spans="1:4" hidden="1" x14ac:dyDescent="0.25">
      <c r="A3608" t="s">
        <v>654</v>
      </c>
      <c r="B3608" t="s">
        <v>86</v>
      </c>
      <c r="C3608" s="2">
        <f>HYPERLINK("https://sao.dolgi.msk.ru/account/1404241788/", 1404241788)</f>
        <v>1404241788</v>
      </c>
      <c r="D3608">
        <v>-4778.9399999999996</v>
      </c>
    </row>
    <row r="3609" spans="1:4" hidden="1" x14ac:dyDescent="0.25">
      <c r="A3609" t="s">
        <v>654</v>
      </c>
      <c r="B3609" t="s">
        <v>87</v>
      </c>
      <c r="C3609" s="2">
        <f>HYPERLINK("https://sao.dolgi.msk.ru/account/1404242756/", 1404242756)</f>
        <v>1404242756</v>
      </c>
      <c r="D3609">
        <v>-7014.9</v>
      </c>
    </row>
    <row r="3610" spans="1:4" hidden="1" x14ac:dyDescent="0.25">
      <c r="A3610" t="s">
        <v>654</v>
      </c>
      <c r="B3610" t="s">
        <v>88</v>
      </c>
      <c r="C3610" s="2">
        <f>HYPERLINK("https://sao.dolgi.msk.ru/account/1404241403/", 1404241403)</f>
        <v>1404241403</v>
      </c>
      <c r="D3610">
        <v>-10266.02</v>
      </c>
    </row>
    <row r="3611" spans="1:4" hidden="1" x14ac:dyDescent="0.25">
      <c r="A3611" t="s">
        <v>654</v>
      </c>
      <c r="B3611" t="s">
        <v>89</v>
      </c>
      <c r="C3611" s="2">
        <f>HYPERLINK("https://sao.dolgi.msk.ru/account/1404242764/", 1404242764)</f>
        <v>1404242764</v>
      </c>
      <c r="D3611">
        <v>-7819.76</v>
      </c>
    </row>
    <row r="3612" spans="1:4" hidden="1" x14ac:dyDescent="0.25">
      <c r="A3612" t="s">
        <v>654</v>
      </c>
      <c r="B3612" t="s">
        <v>90</v>
      </c>
      <c r="C3612" s="2">
        <f>HYPERLINK("https://sao.dolgi.msk.ru/account/1404240814/", 1404240814)</f>
        <v>1404240814</v>
      </c>
      <c r="D3612">
        <v>-5207.92</v>
      </c>
    </row>
    <row r="3613" spans="1:4" hidden="1" x14ac:dyDescent="0.25">
      <c r="A3613" t="s">
        <v>654</v>
      </c>
      <c r="B3613" t="s">
        <v>91</v>
      </c>
      <c r="C3613" s="2">
        <f>HYPERLINK("https://sao.dolgi.msk.ru/account/1404242924/", 1404242924)</f>
        <v>1404242924</v>
      </c>
      <c r="D3613">
        <v>-7180.67</v>
      </c>
    </row>
    <row r="3614" spans="1:4" hidden="1" x14ac:dyDescent="0.25">
      <c r="A3614" t="s">
        <v>654</v>
      </c>
      <c r="B3614" t="s">
        <v>92</v>
      </c>
      <c r="C3614" s="2">
        <f>HYPERLINK("https://sao.dolgi.msk.ru/account/1404242932/", 1404242932)</f>
        <v>1404242932</v>
      </c>
      <c r="D3614">
        <v>-7001.96</v>
      </c>
    </row>
    <row r="3615" spans="1:4" hidden="1" x14ac:dyDescent="0.25">
      <c r="A3615" t="s">
        <v>654</v>
      </c>
      <c r="B3615" t="s">
        <v>93</v>
      </c>
      <c r="C3615" s="2">
        <f>HYPERLINK("https://sao.dolgi.msk.ru/account/1404241614/", 1404241614)</f>
        <v>1404241614</v>
      </c>
      <c r="D3615">
        <v>-10128.33</v>
      </c>
    </row>
    <row r="3616" spans="1:4" hidden="1" x14ac:dyDescent="0.25">
      <c r="A3616" t="s">
        <v>654</v>
      </c>
      <c r="B3616" t="s">
        <v>94</v>
      </c>
      <c r="C3616" s="2">
        <f>HYPERLINK("https://sao.dolgi.msk.ru/account/1404240849/", 1404240849)</f>
        <v>1404240849</v>
      </c>
      <c r="D3616">
        <v>-2812.4</v>
      </c>
    </row>
    <row r="3617" spans="1:4" hidden="1" x14ac:dyDescent="0.25">
      <c r="A3617" t="s">
        <v>654</v>
      </c>
      <c r="B3617" t="s">
        <v>95</v>
      </c>
      <c r="C3617" s="2">
        <f>HYPERLINK("https://sao.dolgi.msk.ru/account/1404242609/", 1404242609)</f>
        <v>1404242609</v>
      </c>
      <c r="D3617">
        <v>-5155.28</v>
      </c>
    </row>
    <row r="3618" spans="1:4" hidden="1" x14ac:dyDescent="0.25">
      <c r="A3618" t="s">
        <v>654</v>
      </c>
      <c r="B3618" t="s">
        <v>96</v>
      </c>
      <c r="C3618" s="2">
        <f>HYPERLINK("https://sao.dolgi.msk.ru/account/1404242959/", 1404242959)</f>
        <v>1404242959</v>
      </c>
      <c r="D3618">
        <v>0</v>
      </c>
    </row>
    <row r="3619" spans="1:4" hidden="1" x14ac:dyDescent="0.25">
      <c r="A3619" t="s">
        <v>654</v>
      </c>
      <c r="B3619" t="s">
        <v>97</v>
      </c>
      <c r="C3619" s="2">
        <f>HYPERLINK("https://sao.dolgi.msk.ru/account/1404241622/", 1404241622)</f>
        <v>1404241622</v>
      </c>
      <c r="D3619">
        <v>-8818.76</v>
      </c>
    </row>
    <row r="3620" spans="1:4" hidden="1" x14ac:dyDescent="0.25">
      <c r="A3620" t="s">
        <v>654</v>
      </c>
      <c r="B3620" t="s">
        <v>98</v>
      </c>
      <c r="C3620" s="2">
        <f>HYPERLINK("https://sao.dolgi.msk.ru/account/1404241235/", 1404241235)</f>
        <v>1404241235</v>
      </c>
      <c r="D3620">
        <v>-6458.01</v>
      </c>
    </row>
    <row r="3621" spans="1:4" hidden="1" x14ac:dyDescent="0.25">
      <c r="A3621" t="s">
        <v>654</v>
      </c>
      <c r="B3621" t="s">
        <v>99</v>
      </c>
      <c r="C3621" s="2">
        <f>HYPERLINK("https://sao.dolgi.msk.ru/account/1404240857/", 1404240857)</f>
        <v>1404240857</v>
      </c>
      <c r="D3621">
        <v>-4444.8999999999996</v>
      </c>
    </row>
    <row r="3622" spans="1:4" hidden="1" x14ac:dyDescent="0.25">
      <c r="A3622" t="s">
        <v>654</v>
      </c>
      <c r="B3622" t="s">
        <v>100</v>
      </c>
      <c r="C3622" s="2">
        <f>HYPERLINK("https://sao.dolgi.msk.ru/account/1404240865/", 1404240865)</f>
        <v>1404240865</v>
      </c>
      <c r="D3622">
        <v>-10386.959999999999</v>
      </c>
    </row>
    <row r="3623" spans="1:4" hidden="1" x14ac:dyDescent="0.25">
      <c r="A3623" t="s">
        <v>654</v>
      </c>
      <c r="B3623" t="s">
        <v>101</v>
      </c>
      <c r="C3623" s="2">
        <f>HYPERLINK("https://sao.dolgi.msk.ru/account/1404240873/", 1404240873)</f>
        <v>1404240873</v>
      </c>
      <c r="D3623">
        <v>-7015.49</v>
      </c>
    </row>
    <row r="3624" spans="1:4" hidden="1" x14ac:dyDescent="0.25">
      <c r="A3624" t="s">
        <v>654</v>
      </c>
      <c r="B3624" t="s">
        <v>102</v>
      </c>
      <c r="C3624" s="2">
        <f>HYPERLINK("https://sao.dolgi.msk.ru/account/1404242617/", 1404242617)</f>
        <v>1404242617</v>
      </c>
      <c r="D3624">
        <v>-6331.23</v>
      </c>
    </row>
    <row r="3625" spans="1:4" hidden="1" x14ac:dyDescent="0.25">
      <c r="A3625" t="s">
        <v>654</v>
      </c>
      <c r="B3625" t="s">
        <v>103</v>
      </c>
      <c r="C3625" s="2">
        <f>HYPERLINK("https://sao.dolgi.msk.ru/account/1404241649/", 1404241649)</f>
        <v>1404241649</v>
      </c>
      <c r="D3625">
        <v>0</v>
      </c>
    </row>
    <row r="3626" spans="1:4" hidden="1" x14ac:dyDescent="0.25">
      <c r="A3626" t="s">
        <v>654</v>
      </c>
      <c r="B3626" t="s">
        <v>104</v>
      </c>
      <c r="C3626" s="2">
        <f>HYPERLINK("https://sao.dolgi.msk.ru/account/1404242799/", 1404242799)</f>
        <v>1404242799</v>
      </c>
      <c r="D3626">
        <v>-12471.55</v>
      </c>
    </row>
    <row r="3627" spans="1:4" x14ac:dyDescent="0.25">
      <c r="A3627" t="s">
        <v>654</v>
      </c>
      <c r="B3627" t="s">
        <v>105</v>
      </c>
      <c r="C3627" s="2">
        <f>HYPERLINK("https://sao.dolgi.msk.ru/account/1404242801/", 1404242801)</f>
        <v>1404242801</v>
      </c>
      <c r="D3627">
        <v>133904.41</v>
      </c>
    </row>
    <row r="3628" spans="1:4" hidden="1" x14ac:dyDescent="0.25">
      <c r="A3628" t="s">
        <v>654</v>
      </c>
      <c r="B3628" t="s">
        <v>106</v>
      </c>
      <c r="C3628" s="2">
        <f>HYPERLINK("https://sao.dolgi.msk.ru/account/1404242051/", 1404242051)</f>
        <v>1404242051</v>
      </c>
      <c r="D3628">
        <v>-6161.61</v>
      </c>
    </row>
    <row r="3629" spans="1:4" hidden="1" x14ac:dyDescent="0.25">
      <c r="A3629" t="s">
        <v>654</v>
      </c>
      <c r="B3629" t="s">
        <v>107</v>
      </c>
      <c r="C3629" s="2">
        <f>HYPERLINK("https://sao.dolgi.msk.ru/account/1404241729/", 1404241729)</f>
        <v>1404241729</v>
      </c>
      <c r="D3629">
        <v>-7116.92</v>
      </c>
    </row>
    <row r="3630" spans="1:4" hidden="1" x14ac:dyDescent="0.25">
      <c r="A3630" t="s">
        <v>654</v>
      </c>
      <c r="B3630" t="s">
        <v>108</v>
      </c>
      <c r="C3630" s="2">
        <f>HYPERLINK("https://sao.dolgi.msk.ru/account/1404241331/", 1404241331)</f>
        <v>1404241331</v>
      </c>
      <c r="D3630">
        <v>0</v>
      </c>
    </row>
    <row r="3631" spans="1:4" hidden="1" x14ac:dyDescent="0.25">
      <c r="A3631" t="s">
        <v>654</v>
      </c>
      <c r="B3631" t="s">
        <v>109</v>
      </c>
      <c r="C3631" s="2">
        <f>HYPERLINK("https://sao.dolgi.msk.ru/account/1404242721/", 1404242721)</f>
        <v>1404242721</v>
      </c>
      <c r="D3631">
        <v>0</v>
      </c>
    </row>
    <row r="3632" spans="1:4" hidden="1" x14ac:dyDescent="0.25">
      <c r="A3632" t="s">
        <v>654</v>
      </c>
      <c r="B3632" t="s">
        <v>110</v>
      </c>
      <c r="C3632" s="2">
        <f>HYPERLINK("https://sao.dolgi.msk.ru/account/1404241016/", 1404241016)</f>
        <v>1404241016</v>
      </c>
      <c r="D3632">
        <v>-5143.6499999999996</v>
      </c>
    </row>
    <row r="3633" spans="1:4" hidden="1" x14ac:dyDescent="0.25">
      <c r="A3633" t="s">
        <v>654</v>
      </c>
      <c r="B3633" t="s">
        <v>111</v>
      </c>
      <c r="C3633" s="2">
        <f>HYPERLINK("https://sao.dolgi.msk.ru/account/1404241358/", 1404241358)</f>
        <v>1404241358</v>
      </c>
      <c r="D3633">
        <v>0</v>
      </c>
    </row>
    <row r="3634" spans="1:4" hidden="1" x14ac:dyDescent="0.25">
      <c r="A3634" t="s">
        <v>654</v>
      </c>
      <c r="B3634" t="s">
        <v>111</v>
      </c>
      <c r="C3634" s="2">
        <f>HYPERLINK("https://sao.dolgi.msk.ru/account/1404242713/", 1404242713)</f>
        <v>1404242713</v>
      </c>
      <c r="D3634">
        <v>0</v>
      </c>
    </row>
    <row r="3635" spans="1:4" x14ac:dyDescent="0.25">
      <c r="A3635" t="s">
        <v>654</v>
      </c>
      <c r="B3635" t="s">
        <v>112</v>
      </c>
      <c r="C3635" s="2">
        <f>HYPERLINK("https://sao.dolgi.msk.ru/account/1404241737/", 1404241737)</f>
        <v>1404241737</v>
      </c>
      <c r="D3635">
        <v>11171.76</v>
      </c>
    </row>
    <row r="3636" spans="1:4" hidden="1" x14ac:dyDescent="0.25">
      <c r="A3636" t="s">
        <v>654</v>
      </c>
      <c r="B3636" t="s">
        <v>113</v>
      </c>
      <c r="C3636" s="2">
        <f>HYPERLINK("https://sao.dolgi.msk.ru/account/1404242369/", 1404242369)</f>
        <v>1404242369</v>
      </c>
      <c r="D3636">
        <v>-8199.23</v>
      </c>
    </row>
    <row r="3637" spans="1:4" hidden="1" x14ac:dyDescent="0.25">
      <c r="A3637" t="s">
        <v>654</v>
      </c>
      <c r="B3637" t="s">
        <v>114</v>
      </c>
      <c r="C3637" s="2">
        <f>HYPERLINK("https://sao.dolgi.msk.ru/account/1404242078/", 1404242078)</f>
        <v>1404242078</v>
      </c>
      <c r="D3637">
        <v>-6570.34</v>
      </c>
    </row>
    <row r="3638" spans="1:4" hidden="1" x14ac:dyDescent="0.25">
      <c r="A3638" t="s">
        <v>654</v>
      </c>
      <c r="B3638" t="s">
        <v>115</v>
      </c>
      <c r="C3638" s="2">
        <f>HYPERLINK("https://sao.dolgi.msk.ru/account/1404243089/", 1404243089)</f>
        <v>1404243089</v>
      </c>
      <c r="D3638">
        <v>-5170.24</v>
      </c>
    </row>
    <row r="3639" spans="1:4" hidden="1" x14ac:dyDescent="0.25">
      <c r="A3639" t="s">
        <v>654</v>
      </c>
      <c r="B3639" t="s">
        <v>116</v>
      </c>
      <c r="C3639" s="2">
        <f>HYPERLINK("https://sao.dolgi.msk.ru/account/1404243249/", 1404243249)</f>
        <v>1404243249</v>
      </c>
      <c r="D3639">
        <v>-8361.52</v>
      </c>
    </row>
    <row r="3640" spans="1:4" x14ac:dyDescent="0.25">
      <c r="A3640" t="s">
        <v>654</v>
      </c>
      <c r="B3640" t="s">
        <v>117</v>
      </c>
      <c r="C3640" s="2">
        <f>HYPERLINK("https://sao.dolgi.msk.ru/account/1404241534/", 1404241534)</f>
        <v>1404241534</v>
      </c>
      <c r="D3640">
        <v>4673.1400000000003</v>
      </c>
    </row>
    <row r="3641" spans="1:4" hidden="1" x14ac:dyDescent="0.25">
      <c r="A3641" t="s">
        <v>654</v>
      </c>
      <c r="B3641" t="s">
        <v>118</v>
      </c>
      <c r="C3641" s="2">
        <f>HYPERLINK("https://sao.dolgi.msk.ru/account/1404240742/", 1404240742)</f>
        <v>1404240742</v>
      </c>
      <c r="D3641">
        <v>-7565.59</v>
      </c>
    </row>
    <row r="3642" spans="1:4" hidden="1" x14ac:dyDescent="0.25">
      <c r="A3642" t="s">
        <v>654</v>
      </c>
      <c r="B3642" t="s">
        <v>119</v>
      </c>
      <c r="C3642" s="2">
        <f>HYPERLINK("https://sao.dolgi.msk.ru/account/1404242844/", 1404242844)</f>
        <v>1404242844</v>
      </c>
      <c r="D3642">
        <v>-19.239999999999998</v>
      </c>
    </row>
    <row r="3643" spans="1:4" hidden="1" x14ac:dyDescent="0.25">
      <c r="A3643" t="s">
        <v>654</v>
      </c>
      <c r="B3643" t="s">
        <v>120</v>
      </c>
      <c r="C3643" s="2">
        <f>HYPERLINK("https://sao.dolgi.msk.ru/account/1404243257/", 1404243257)</f>
        <v>1404243257</v>
      </c>
      <c r="D3643">
        <v>-8148.49</v>
      </c>
    </row>
    <row r="3644" spans="1:4" hidden="1" x14ac:dyDescent="0.25">
      <c r="A3644" t="s">
        <v>654</v>
      </c>
      <c r="B3644" t="s">
        <v>121</v>
      </c>
      <c r="C3644" s="2">
        <f>HYPERLINK("https://sao.dolgi.msk.ru/account/1404243265/", 1404243265)</f>
        <v>1404243265</v>
      </c>
      <c r="D3644">
        <v>0</v>
      </c>
    </row>
    <row r="3645" spans="1:4" hidden="1" x14ac:dyDescent="0.25">
      <c r="A3645" t="s">
        <v>654</v>
      </c>
      <c r="B3645" t="s">
        <v>122</v>
      </c>
      <c r="C3645" s="2">
        <f>HYPERLINK("https://sao.dolgi.msk.ru/account/1404241112/", 1404241112)</f>
        <v>1404241112</v>
      </c>
      <c r="D3645">
        <v>0</v>
      </c>
    </row>
    <row r="3646" spans="1:4" x14ac:dyDescent="0.25">
      <c r="A3646" t="s">
        <v>654</v>
      </c>
      <c r="B3646" t="s">
        <v>123</v>
      </c>
      <c r="C3646" s="2">
        <f>HYPERLINK("https://sao.dolgi.msk.ru/account/1404240769/", 1404240769)</f>
        <v>1404240769</v>
      </c>
      <c r="D3646">
        <v>3916.12</v>
      </c>
    </row>
    <row r="3647" spans="1:4" hidden="1" x14ac:dyDescent="0.25">
      <c r="A3647" t="s">
        <v>654</v>
      </c>
      <c r="B3647" t="s">
        <v>124</v>
      </c>
      <c r="C3647" s="2">
        <f>HYPERLINK("https://sao.dolgi.msk.ru/account/1404240777/", 1404240777)</f>
        <v>1404240777</v>
      </c>
      <c r="D3647">
        <v>0</v>
      </c>
    </row>
    <row r="3648" spans="1:4" hidden="1" x14ac:dyDescent="0.25">
      <c r="A3648" t="s">
        <v>654</v>
      </c>
      <c r="B3648" t="s">
        <v>125</v>
      </c>
      <c r="C3648" s="2">
        <f>HYPERLINK("https://sao.dolgi.msk.ru/account/1404241542/", 1404241542)</f>
        <v>1404241542</v>
      </c>
      <c r="D3648">
        <v>-6177.01</v>
      </c>
    </row>
    <row r="3649" spans="1:4" hidden="1" x14ac:dyDescent="0.25">
      <c r="A3649" t="s">
        <v>654</v>
      </c>
      <c r="B3649" t="s">
        <v>126</v>
      </c>
      <c r="C3649" s="2">
        <f>HYPERLINK("https://sao.dolgi.msk.ru/account/1404241884/", 1404241884)</f>
        <v>1404241884</v>
      </c>
      <c r="D3649">
        <v>0</v>
      </c>
    </row>
    <row r="3650" spans="1:4" hidden="1" x14ac:dyDescent="0.25">
      <c r="A3650" t="s">
        <v>654</v>
      </c>
      <c r="B3650" t="s">
        <v>127</v>
      </c>
      <c r="C3650" s="2">
        <f>HYPERLINK("https://sao.dolgi.msk.ru/account/1404241892/", 1404241892)</f>
        <v>1404241892</v>
      </c>
      <c r="D3650">
        <v>0</v>
      </c>
    </row>
    <row r="3651" spans="1:4" hidden="1" x14ac:dyDescent="0.25">
      <c r="A3651" t="s">
        <v>654</v>
      </c>
      <c r="B3651" t="s">
        <v>128</v>
      </c>
      <c r="C3651" s="2">
        <f>HYPERLINK("https://sao.dolgi.msk.ru/account/1404241948/", 1404241948)</f>
        <v>1404241948</v>
      </c>
      <c r="D3651">
        <v>-3474.27</v>
      </c>
    </row>
    <row r="3652" spans="1:4" hidden="1" x14ac:dyDescent="0.25">
      <c r="A3652" t="s">
        <v>654</v>
      </c>
      <c r="B3652" t="s">
        <v>128</v>
      </c>
      <c r="C3652" s="2">
        <f>HYPERLINK("https://sao.dolgi.msk.ru/account/1404242852/", 1404242852)</f>
        <v>1404242852</v>
      </c>
      <c r="D3652">
        <v>-5242.54</v>
      </c>
    </row>
    <row r="3653" spans="1:4" hidden="1" x14ac:dyDescent="0.25">
      <c r="A3653" t="s">
        <v>654</v>
      </c>
      <c r="B3653" t="s">
        <v>129</v>
      </c>
      <c r="C3653" s="2">
        <f>HYPERLINK("https://sao.dolgi.msk.ru/account/1404242537/", 1404242537)</f>
        <v>1404242537</v>
      </c>
      <c r="D3653">
        <v>-5977.05</v>
      </c>
    </row>
    <row r="3654" spans="1:4" hidden="1" x14ac:dyDescent="0.25">
      <c r="A3654" t="s">
        <v>654</v>
      </c>
      <c r="B3654" t="s">
        <v>130</v>
      </c>
      <c r="C3654" s="2">
        <f>HYPERLINK("https://sao.dolgi.msk.ru/account/1404242879/", 1404242879)</f>
        <v>1404242879</v>
      </c>
      <c r="D3654">
        <v>-3688.78</v>
      </c>
    </row>
    <row r="3655" spans="1:4" x14ac:dyDescent="0.25">
      <c r="A3655" t="s">
        <v>654</v>
      </c>
      <c r="B3655" t="s">
        <v>131</v>
      </c>
      <c r="C3655" s="2">
        <f>HYPERLINK("https://sao.dolgi.msk.ru/account/1404241139/", 1404241139)</f>
        <v>1404241139</v>
      </c>
      <c r="D3655">
        <v>24544.880000000001</v>
      </c>
    </row>
    <row r="3656" spans="1:4" hidden="1" x14ac:dyDescent="0.25">
      <c r="A3656" t="s">
        <v>654</v>
      </c>
      <c r="B3656" t="s">
        <v>132</v>
      </c>
      <c r="C3656" s="2">
        <f>HYPERLINK("https://sao.dolgi.msk.ru/account/1404242545/", 1404242545)</f>
        <v>1404242545</v>
      </c>
      <c r="D3656">
        <v>-3851.18</v>
      </c>
    </row>
    <row r="3657" spans="1:4" hidden="1" x14ac:dyDescent="0.25">
      <c r="A3657" t="s">
        <v>654</v>
      </c>
      <c r="B3657" t="s">
        <v>133</v>
      </c>
      <c r="C3657" s="2">
        <f>HYPERLINK("https://sao.dolgi.msk.ru/account/1404240785/", 1404240785)</f>
        <v>1404240785</v>
      </c>
      <c r="D3657">
        <v>-9299.01</v>
      </c>
    </row>
    <row r="3658" spans="1:4" hidden="1" x14ac:dyDescent="0.25">
      <c r="A3658" t="s">
        <v>654</v>
      </c>
      <c r="B3658" t="s">
        <v>134</v>
      </c>
      <c r="C3658" s="2">
        <f>HYPERLINK("https://sao.dolgi.msk.ru/account/1404242887/", 1404242887)</f>
        <v>1404242887</v>
      </c>
      <c r="D3658">
        <v>0</v>
      </c>
    </row>
    <row r="3659" spans="1:4" hidden="1" x14ac:dyDescent="0.25">
      <c r="A3659" t="s">
        <v>654</v>
      </c>
      <c r="B3659" t="s">
        <v>135</v>
      </c>
      <c r="C3659" s="2">
        <f>HYPERLINK("https://sao.dolgi.msk.ru/account/1404243273/", 1404243273)</f>
        <v>1404243273</v>
      </c>
      <c r="D3659">
        <v>-2073.62</v>
      </c>
    </row>
    <row r="3660" spans="1:4" hidden="1" x14ac:dyDescent="0.25">
      <c r="A3660" t="s">
        <v>654</v>
      </c>
      <c r="B3660" t="s">
        <v>136</v>
      </c>
      <c r="C3660" s="2">
        <f>HYPERLINK("https://sao.dolgi.msk.ru/account/1404240793/", 1404240793)</f>
        <v>1404240793</v>
      </c>
      <c r="D3660">
        <v>0</v>
      </c>
    </row>
    <row r="3661" spans="1:4" hidden="1" x14ac:dyDescent="0.25">
      <c r="A3661" t="s">
        <v>654</v>
      </c>
      <c r="B3661" t="s">
        <v>136</v>
      </c>
      <c r="C3661" s="2">
        <f>HYPERLINK("https://sao.dolgi.msk.ru/account/1404241147/", 1404241147)</f>
        <v>1404241147</v>
      </c>
      <c r="D3661">
        <v>0</v>
      </c>
    </row>
    <row r="3662" spans="1:4" hidden="1" x14ac:dyDescent="0.25">
      <c r="A3662" t="s">
        <v>654</v>
      </c>
      <c r="B3662" t="s">
        <v>136</v>
      </c>
      <c r="C3662" s="2">
        <f>HYPERLINK("https://sao.dolgi.msk.ru/account/1404242705/", 1404242705)</f>
        <v>1404242705</v>
      </c>
      <c r="D3662">
        <v>0</v>
      </c>
    </row>
    <row r="3663" spans="1:4" hidden="1" x14ac:dyDescent="0.25">
      <c r="A3663" t="s">
        <v>654</v>
      </c>
      <c r="B3663" t="s">
        <v>137</v>
      </c>
      <c r="C3663" s="2">
        <f>HYPERLINK("https://sao.dolgi.msk.ru/account/1404241155/", 1404241155)</f>
        <v>1404241155</v>
      </c>
      <c r="D3663">
        <v>-13186.76</v>
      </c>
    </row>
    <row r="3664" spans="1:4" hidden="1" x14ac:dyDescent="0.25">
      <c r="A3664" t="s">
        <v>654</v>
      </c>
      <c r="B3664" t="s">
        <v>138</v>
      </c>
      <c r="C3664" s="2">
        <f>HYPERLINK("https://sao.dolgi.msk.ru/account/1404242203/", 1404242203)</f>
        <v>1404242203</v>
      </c>
      <c r="D3664">
        <v>-5012.08</v>
      </c>
    </row>
    <row r="3665" spans="1:4" x14ac:dyDescent="0.25">
      <c r="A3665" t="s">
        <v>654</v>
      </c>
      <c r="B3665" t="s">
        <v>139</v>
      </c>
      <c r="C3665" s="2">
        <f>HYPERLINK("https://sao.dolgi.msk.ru/account/1404241569/", 1404241569)</f>
        <v>1404241569</v>
      </c>
      <c r="D3665">
        <v>5372.2</v>
      </c>
    </row>
    <row r="3666" spans="1:4" hidden="1" x14ac:dyDescent="0.25">
      <c r="A3666" t="s">
        <v>654</v>
      </c>
      <c r="B3666" t="s">
        <v>140</v>
      </c>
      <c r="C3666" s="2">
        <f>HYPERLINK("https://sao.dolgi.msk.ru/account/1404241577/", 1404241577)</f>
        <v>1404241577</v>
      </c>
      <c r="D3666">
        <v>-8659.08</v>
      </c>
    </row>
    <row r="3667" spans="1:4" hidden="1" x14ac:dyDescent="0.25">
      <c r="A3667" t="s">
        <v>654</v>
      </c>
      <c r="B3667" t="s">
        <v>141</v>
      </c>
      <c r="C3667" s="2">
        <f>HYPERLINK("https://sao.dolgi.msk.ru/account/1404243281/", 1404243281)</f>
        <v>1404243281</v>
      </c>
      <c r="D3667">
        <v>0</v>
      </c>
    </row>
    <row r="3668" spans="1:4" hidden="1" x14ac:dyDescent="0.25">
      <c r="A3668" t="s">
        <v>654</v>
      </c>
      <c r="B3668" t="s">
        <v>142</v>
      </c>
      <c r="C3668" s="2">
        <f>HYPERLINK("https://sao.dolgi.msk.ru/account/1404241163/", 1404241163)</f>
        <v>1404241163</v>
      </c>
      <c r="D3668">
        <v>-5488.51</v>
      </c>
    </row>
    <row r="3669" spans="1:4" hidden="1" x14ac:dyDescent="0.25">
      <c r="A3669" t="s">
        <v>654</v>
      </c>
      <c r="B3669" t="s">
        <v>143</v>
      </c>
      <c r="C3669" s="2">
        <f>HYPERLINK("https://sao.dolgi.msk.ru/account/1404243302/", 1404243302)</f>
        <v>1404243302</v>
      </c>
      <c r="D3669">
        <v>-4685.5</v>
      </c>
    </row>
    <row r="3670" spans="1:4" hidden="1" x14ac:dyDescent="0.25">
      <c r="A3670" t="s">
        <v>654</v>
      </c>
      <c r="B3670" t="s">
        <v>144</v>
      </c>
      <c r="C3670" s="2">
        <f>HYPERLINK("https://sao.dolgi.msk.ru/account/1404242553/", 1404242553)</f>
        <v>1404242553</v>
      </c>
      <c r="D3670">
        <v>-12215.32</v>
      </c>
    </row>
    <row r="3671" spans="1:4" x14ac:dyDescent="0.25">
      <c r="A3671" t="s">
        <v>654</v>
      </c>
      <c r="B3671" t="s">
        <v>145</v>
      </c>
      <c r="C3671" s="2">
        <f>HYPERLINK("https://sao.dolgi.msk.ru/account/1404241905/", 1404241905)</f>
        <v>1404241905</v>
      </c>
      <c r="D3671">
        <v>12913.83</v>
      </c>
    </row>
    <row r="3672" spans="1:4" x14ac:dyDescent="0.25">
      <c r="A3672" t="s">
        <v>654</v>
      </c>
      <c r="B3672" t="s">
        <v>146</v>
      </c>
      <c r="C3672" s="2">
        <f>HYPERLINK("https://sao.dolgi.msk.ru/account/1404241198/", 1404241198)</f>
        <v>1404241198</v>
      </c>
      <c r="D3672">
        <v>2139.65</v>
      </c>
    </row>
    <row r="3673" spans="1:4" x14ac:dyDescent="0.25">
      <c r="A3673" t="s">
        <v>654</v>
      </c>
      <c r="B3673" t="s">
        <v>147</v>
      </c>
      <c r="C3673" s="2">
        <f>HYPERLINK("https://sao.dolgi.msk.ru/account/1404242561/", 1404242561)</f>
        <v>1404242561</v>
      </c>
      <c r="D3673">
        <v>5372.2</v>
      </c>
    </row>
    <row r="3674" spans="1:4" x14ac:dyDescent="0.25">
      <c r="A3674" t="s">
        <v>654</v>
      </c>
      <c r="B3674" t="s">
        <v>148</v>
      </c>
      <c r="C3674" s="2">
        <f>HYPERLINK("https://sao.dolgi.msk.ru/account/1404241585/", 1404241585)</f>
        <v>1404241585</v>
      </c>
      <c r="D3674">
        <v>156046.16</v>
      </c>
    </row>
    <row r="3675" spans="1:4" hidden="1" x14ac:dyDescent="0.25">
      <c r="A3675" t="s">
        <v>654</v>
      </c>
      <c r="B3675" t="s">
        <v>149</v>
      </c>
      <c r="C3675" s="2">
        <f>HYPERLINK("https://sao.dolgi.msk.ru/account/1404240806/", 1404240806)</f>
        <v>1404240806</v>
      </c>
      <c r="D3675">
        <v>-5517.5</v>
      </c>
    </row>
    <row r="3676" spans="1:4" hidden="1" x14ac:dyDescent="0.25">
      <c r="A3676" t="s">
        <v>654</v>
      </c>
      <c r="B3676" t="s">
        <v>150</v>
      </c>
      <c r="C3676" s="2">
        <f>HYPERLINK("https://sao.dolgi.msk.ru/account/1404241913/", 1404241913)</f>
        <v>1404241913</v>
      </c>
      <c r="D3676">
        <v>-5271.36</v>
      </c>
    </row>
    <row r="3677" spans="1:4" hidden="1" x14ac:dyDescent="0.25">
      <c r="A3677" t="s">
        <v>654</v>
      </c>
      <c r="B3677" t="s">
        <v>151</v>
      </c>
      <c r="C3677" s="2">
        <f>HYPERLINK("https://sao.dolgi.msk.ru/account/1404242895/", 1404242895)</f>
        <v>1404242895</v>
      </c>
      <c r="D3677">
        <v>-5977.59</v>
      </c>
    </row>
    <row r="3678" spans="1:4" hidden="1" x14ac:dyDescent="0.25">
      <c r="A3678" t="s">
        <v>654</v>
      </c>
      <c r="B3678" t="s">
        <v>152</v>
      </c>
      <c r="C3678" s="2">
        <f>HYPERLINK("https://sao.dolgi.msk.ru/account/1404242211/", 1404242211)</f>
        <v>1404242211</v>
      </c>
      <c r="D3678">
        <v>0</v>
      </c>
    </row>
    <row r="3679" spans="1:4" hidden="1" x14ac:dyDescent="0.25">
      <c r="A3679" t="s">
        <v>654</v>
      </c>
      <c r="B3679" t="s">
        <v>153</v>
      </c>
      <c r="C3679" s="2">
        <f>HYPERLINK("https://sao.dolgi.msk.ru/account/1404242238/", 1404242238)</f>
        <v>1404242238</v>
      </c>
      <c r="D3679">
        <v>-8951.1200000000008</v>
      </c>
    </row>
    <row r="3680" spans="1:4" hidden="1" x14ac:dyDescent="0.25">
      <c r="A3680" t="s">
        <v>654</v>
      </c>
      <c r="B3680" t="s">
        <v>154</v>
      </c>
      <c r="C3680" s="2">
        <f>HYPERLINK("https://sao.dolgi.msk.ru/account/1404241219/", 1404241219)</f>
        <v>1404241219</v>
      </c>
      <c r="D3680">
        <v>0</v>
      </c>
    </row>
    <row r="3681" spans="1:4" hidden="1" x14ac:dyDescent="0.25">
      <c r="A3681" t="s">
        <v>654</v>
      </c>
      <c r="B3681" t="s">
        <v>155</v>
      </c>
      <c r="C3681" s="2">
        <f>HYPERLINK("https://sao.dolgi.msk.ru/account/1404242588/", 1404242588)</f>
        <v>1404242588</v>
      </c>
      <c r="D3681">
        <v>-10157.43</v>
      </c>
    </row>
    <row r="3682" spans="1:4" hidden="1" x14ac:dyDescent="0.25">
      <c r="A3682" t="s">
        <v>654</v>
      </c>
      <c r="B3682" t="s">
        <v>156</v>
      </c>
      <c r="C3682" s="2">
        <f>HYPERLINK("https://sao.dolgi.msk.ru/account/1404241593/", 1404241593)</f>
        <v>1404241593</v>
      </c>
      <c r="D3682">
        <v>-5571.04</v>
      </c>
    </row>
    <row r="3683" spans="1:4" hidden="1" x14ac:dyDescent="0.25">
      <c r="A3683" t="s">
        <v>654</v>
      </c>
      <c r="B3683" t="s">
        <v>157</v>
      </c>
      <c r="C3683" s="2">
        <f>HYPERLINK("https://sao.dolgi.msk.ru/account/1404243329/", 1404243329)</f>
        <v>1404243329</v>
      </c>
      <c r="D3683">
        <v>-6956.66</v>
      </c>
    </row>
    <row r="3684" spans="1:4" hidden="1" x14ac:dyDescent="0.25">
      <c r="A3684" t="s">
        <v>654</v>
      </c>
      <c r="B3684" t="s">
        <v>158</v>
      </c>
      <c r="C3684" s="2">
        <f>HYPERLINK("https://sao.dolgi.msk.ru/account/1404241227/", 1404241227)</f>
        <v>1404241227</v>
      </c>
      <c r="D3684">
        <v>-4052.02</v>
      </c>
    </row>
    <row r="3685" spans="1:4" hidden="1" x14ac:dyDescent="0.25">
      <c r="A3685" t="s">
        <v>654</v>
      </c>
      <c r="B3685" t="s">
        <v>159</v>
      </c>
      <c r="C3685" s="2">
        <f>HYPERLINK("https://sao.dolgi.msk.ru/account/1404241606/", 1404241606)</f>
        <v>1404241606</v>
      </c>
      <c r="D3685">
        <v>-8304.01</v>
      </c>
    </row>
    <row r="3686" spans="1:4" hidden="1" x14ac:dyDescent="0.25">
      <c r="A3686" t="s">
        <v>654</v>
      </c>
      <c r="B3686" t="s">
        <v>160</v>
      </c>
      <c r="C3686" s="2">
        <f>HYPERLINK("https://sao.dolgi.msk.ru/account/1404242596/", 1404242596)</f>
        <v>1404242596</v>
      </c>
      <c r="D3686">
        <v>0</v>
      </c>
    </row>
    <row r="3687" spans="1:4" hidden="1" x14ac:dyDescent="0.25">
      <c r="A3687" t="s">
        <v>654</v>
      </c>
      <c r="B3687" t="s">
        <v>161</v>
      </c>
      <c r="C3687" s="2">
        <f>HYPERLINK("https://sao.dolgi.msk.ru/account/1404242908/", 1404242908)</f>
        <v>1404242908</v>
      </c>
      <c r="D3687">
        <v>-11639.23</v>
      </c>
    </row>
    <row r="3688" spans="1:4" hidden="1" x14ac:dyDescent="0.25">
      <c r="A3688" t="s">
        <v>654</v>
      </c>
      <c r="B3688" t="s">
        <v>162</v>
      </c>
      <c r="C3688" s="2">
        <f>HYPERLINK("https://sao.dolgi.msk.ru/account/1404242916/", 1404242916)</f>
        <v>1404242916</v>
      </c>
      <c r="D3688">
        <v>-8801.1299999999992</v>
      </c>
    </row>
    <row r="3689" spans="1:4" hidden="1" x14ac:dyDescent="0.25">
      <c r="A3689" t="s">
        <v>654</v>
      </c>
      <c r="B3689" t="s">
        <v>163</v>
      </c>
      <c r="C3689" s="2">
        <f>HYPERLINK("https://sao.dolgi.msk.ru/account/1404241286/", 1404241286)</f>
        <v>1404241286</v>
      </c>
      <c r="D3689">
        <v>-6768.69</v>
      </c>
    </row>
    <row r="3690" spans="1:4" hidden="1" x14ac:dyDescent="0.25">
      <c r="A3690" t="s">
        <v>654</v>
      </c>
      <c r="B3690" t="s">
        <v>164</v>
      </c>
      <c r="C3690" s="2">
        <f>HYPERLINK("https://sao.dolgi.msk.ru/account/1404242326/", 1404242326)</f>
        <v>1404242326</v>
      </c>
      <c r="D3690">
        <v>0</v>
      </c>
    </row>
    <row r="3691" spans="1:4" x14ac:dyDescent="0.25">
      <c r="A3691" t="s">
        <v>654</v>
      </c>
      <c r="B3691" t="s">
        <v>165</v>
      </c>
      <c r="C3691" s="2">
        <f>HYPERLINK("https://sao.dolgi.msk.ru/account/1404242334/", 1404242334)</f>
        <v>1404242334</v>
      </c>
      <c r="D3691">
        <v>705.12</v>
      </c>
    </row>
    <row r="3692" spans="1:4" hidden="1" x14ac:dyDescent="0.25">
      <c r="A3692" t="s">
        <v>654</v>
      </c>
      <c r="B3692" t="s">
        <v>166</v>
      </c>
      <c r="C3692" s="2">
        <f>HYPERLINK("https://sao.dolgi.msk.ru/account/1404242991/", 1404242991)</f>
        <v>1404242991</v>
      </c>
      <c r="D3692">
        <v>-6661.96</v>
      </c>
    </row>
    <row r="3693" spans="1:4" hidden="1" x14ac:dyDescent="0.25">
      <c r="A3693" t="s">
        <v>654</v>
      </c>
      <c r="B3693" t="s">
        <v>167</v>
      </c>
      <c r="C3693" s="2">
        <f>HYPERLINK("https://sao.dolgi.msk.ru/account/1404243003/", 1404243003)</f>
        <v>1404243003</v>
      </c>
      <c r="D3693">
        <v>0</v>
      </c>
    </row>
    <row r="3694" spans="1:4" hidden="1" x14ac:dyDescent="0.25">
      <c r="A3694" t="s">
        <v>654</v>
      </c>
      <c r="B3694" t="s">
        <v>168</v>
      </c>
      <c r="C3694" s="2">
        <f>HYPERLINK("https://sao.dolgi.msk.ru/account/1404243011/", 1404243011)</f>
        <v>1404243011</v>
      </c>
      <c r="D3694">
        <v>0</v>
      </c>
    </row>
    <row r="3695" spans="1:4" hidden="1" x14ac:dyDescent="0.25">
      <c r="A3695" t="s">
        <v>654</v>
      </c>
      <c r="B3695" t="s">
        <v>169</v>
      </c>
      <c r="C3695" s="2">
        <f>HYPERLINK("https://sao.dolgi.msk.ru/account/1404240953/", 1404240953)</f>
        <v>1404240953</v>
      </c>
      <c r="D3695">
        <v>-11513.16</v>
      </c>
    </row>
    <row r="3696" spans="1:4" hidden="1" x14ac:dyDescent="0.25">
      <c r="A3696" t="s">
        <v>654</v>
      </c>
      <c r="B3696" t="s">
        <v>170</v>
      </c>
      <c r="C3696" s="2">
        <f>HYPERLINK("https://sao.dolgi.msk.ru/account/1404241294/", 1404241294)</f>
        <v>1404241294</v>
      </c>
      <c r="D3696">
        <v>0</v>
      </c>
    </row>
    <row r="3697" spans="1:4" hidden="1" x14ac:dyDescent="0.25">
      <c r="A3697" t="s">
        <v>654</v>
      </c>
      <c r="B3697" t="s">
        <v>171</v>
      </c>
      <c r="C3697" s="2">
        <f>HYPERLINK("https://sao.dolgi.msk.ru/account/1404241964/", 1404241964)</f>
        <v>1404241964</v>
      </c>
      <c r="D3697">
        <v>-9263.83</v>
      </c>
    </row>
    <row r="3698" spans="1:4" hidden="1" x14ac:dyDescent="0.25">
      <c r="A3698" t="s">
        <v>654</v>
      </c>
      <c r="B3698" t="s">
        <v>172</v>
      </c>
      <c r="C3698" s="2">
        <f>HYPERLINK("https://sao.dolgi.msk.ru/account/1404243038/", 1404243038)</f>
        <v>1404243038</v>
      </c>
      <c r="D3698">
        <v>-7658.83</v>
      </c>
    </row>
    <row r="3699" spans="1:4" hidden="1" x14ac:dyDescent="0.25">
      <c r="A3699" t="s">
        <v>654</v>
      </c>
      <c r="B3699" t="s">
        <v>173</v>
      </c>
      <c r="C3699" s="2">
        <f>HYPERLINK("https://sao.dolgi.msk.ru/account/1404241972/", 1404241972)</f>
        <v>1404241972</v>
      </c>
      <c r="D3699">
        <v>-13289.58</v>
      </c>
    </row>
    <row r="3700" spans="1:4" hidden="1" x14ac:dyDescent="0.25">
      <c r="A3700" t="s">
        <v>654</v>
      </c>
      <c r="B3700" t="s">
        <v>174</v>
      </c>
      <c r="C3700" s="2">
        <f>HYPERLINK("https://sao.dolgi.msk.ru/account/1404243046/", 1404243046)</f>
        <v>1404243046</v>
      </c>
      <c r="D3700">
        <v>-4092.49</v>
      </c>
    </row>
    <row r="3701" spans="1:4" hidden="1" x14ac:dyDescent="0.25">
      <c r="A3701" t="s">
        <v>654</v>
      </c>
      <c r="B3701" t="s">
        <v>175</v>
      </c>
      <c r="C3701" s="2">
        <f>HYPERLINK("https://sao.dolgi.msk.ru/account/1404243345/", 1404243345)</f>
        <v>1404243345</v>
      </c>
      <c r="D3701">
        <v>0</v>
      </c>
    </row>
    <row r="3702" spans="1:4" x14ac:dyDescent="0.25">
      <c r="A3702" t="s">
        <v>654</v>
      </c>
      <c r="B3702" t="s">
        <v>176</v>
      </c>
      <c r="C3702" s="2">
        <f>HYPERLINK("https://sao.dolgi.msk.ru/account/1404241673/", 1404241673)</f>
        <v>1404241673</v>
      </c>
      <c r="D3702">
        <v>5333.65</v>
      </c>
    </row>
    <row r="3703" spans="1:4" hidden="1" x14ac:dyDescent="0.25">
      <c r="A3703" t="s">
        <v>654</v>
      </c>
      <c r="B3703" t="s">
        <v>177</v>
      </c>
      <c r="C3703" s="2">
        <f>HYPERLINK("https://sao.dolgi.msk.ru/account/1404241999/", 1404241999)</f>
        <v>1404241999</v>
      </c>
      <c r="D3703">
        <v>0</v>
      </c>
    </row>
    <row r="3704" spans="1:4" hidden="1" x14ac:dyDescent="0.25">
      <c r="A3704" t="s">
        <v>654</v>
      </c>
      <c r="B3704" t="s">
        <v>178</v>
      </c>
      <c r="C3704" s="2">
        <f>HYPERLINK("https://sao.dolgi.msk.ru/account/1404240961/", 1404240961)</f>
        <v>1404240961</v>
      </c>
      <c r="D3704">
        <v>-6326.7</v>
      </c>
    </row>
    <row r="3705" spans="1:4" hidden="1" x14ac:dyDescent="0.25">
      <c r="A3705" t="s">
        <v>654</v>
      </c>
      <c r="B3705" t="s">
        <v>179</v>
      </c>
      <c r="C3705" s="2">
        <f>HYPERLINK("https://sao.dolgi.msk.ru/account/1404242019/", 1404242019)</f>
        <v>1404242019</v>
      </c>
      <c r="D3705">
        <v>-6988.39</v>
      </c>
    </row>
    <row r="3706" spans="1:4" hidden="1" x14ac:dyDescent="0.25">
      <c r="A3706" t="s">
        <v>654</v>
      </c>
      <c r="B3706" t="s">
        <v>180</v>
      </c>
      <c r="C3706" s="2">
        <f>HYPERLINK("https://sao.dolgi.msk.ru/account/1404242123/", 1404242123)</f>
        <v>1404242123</v>
      </c>
      <c r="D3706">
        <v>0</v>
      </c>
    </row>
    <row r="3707" spans="1:4" hidden="1" x14ac:dyDescent="0.25">
      <c r="A3707" t="s">
        <v>654</v>
      </c>
      <c r="B3707" t="s">
        <v>181</v>
      </c>
      <c r="C3707" s="2">
        <f>HYPERLINK("https://sao.dolgi.msk.ru/account/1404242449/", 1404242449)</f>
        <v>1404242449</v>
      </c>
      <c r="D3707">
        <v>0</v>
      </c>
    </row>
    <row r="3708" spans="1:4" hidden="1" x14ac:dyDescent="0.25">
      <c r="A3708" t="s">
        <v>654</v>
      </c>
      <c r="B3708" t="s">
        <v>182</v>
      </c>
      <c r="C3708" s="2">
        <f>HYPERLINK("https://sao.dolgi.msk.ru/account/1404243206/", 1404243206)</f>
        <v>1404243206</v>
      </c>
      <c r="D3708">
        <v>-5472.82</v>
      </c>
    </row>
    <row r="3709" spans="1:4" hidden="1" x14ac:dyDescent="0.25">
      <c r="A3709" t="s">
        <v>654</v>
      </c>
      <c r="B3709" t="s">
        <v>183</v>
      </c>
      <c r="C3709" s="2">
        <f>HYPERLINK("https://sao.dolgi.msk.ru/account/1404241817/", 1404241817)</f>
        <v>1404241817</v>
      </c>
      <c r="D3709">
        <v>0</v>
      </c>
    </row>
    <row r="3710" spans="1:4" hidden="1" x14ac:dyDescent="0.25">
      <c r="A3710" t="s">
        <v>654</v>
      </c>
      <c r="B3710" t="s">
        <v>184</v>
      </c>
      <c r="C3710" s="2">
        <f>HYPERLINK("https://sao.dolgi.msk.ru/account/1404242465/", 1404242465)</f>
        <v>1404242465</v>
      </c>
      <c r="D3710">
        <v>-9691.4500000000007</v>
      </c>
    </row>
    <row r="3711" spans="1:4" hidden="1" x14ac:dyDescent="0.25">
      <c r="A3711" t="s">
        <v>654</v>
      </c>
      <c r="B3711" t="s">
        <v>185</v>
      </c>
      <c r="C3711" s="2">
        <f>HYPERLINK("https://sao.dolgi.msk.ru/account/1404241825/", 1404241825)</f>
        <v>1404241825</v>
      </c>
      <c r="D3711">
        <v>-15197.21</v>
      </c>
    </row>
    <row r="3712" spans="1:4" x14ac:dyDescent="0.25">
      <c r="A3712" t="s">
        <v>654</v>
      </c>
      <c r="B3712" t="s">
        <v>186</v>
      </c>
      <c r="C3712" s="2">
        <f>HYPERLINK("https://sao.dolgi.msk.ru/account/1404240697/", 1404240697)</f>
        <v>1404240697</v>
      </c>
      <c r="D3712">
        <v>5129.75</v>
      </c>
    </row>
    <row r="3713" spans="1:4" hidden="1" x14ac:dyDescent="0.25">
      <c r="A3713" t="s">
        <v>654</v>
      </c>
      <c r="B3713" t="s">
        <v>187</v>
      </c>
      <c r="C3713" s="2">
        <f>HYPERLINK("https://sao.dolgi.msk.ru/account/1404241462/", 1404241462)</f>
        <v>1404241462</v>
      </c>
      <c r="D3713">
        <v>-6445.82</v>
      </c>
    </row>
    <row r="3714" spans="1:4" hidden="1" x14ac:dyDescent="0.25">
      <c r="A3714" t="s">
        <v>654</v>
      </c>
      <c r="B3714" t="s">
        <v>188</v>
      </c>
      <c r="C3714" s="2">
        <f>HYPERLINK("https://sao.dolgi.msk.ru/account/1404242828/", 1404242828)</f>
        <v>1404242828</v>
      </c>
      <c r="D3714">
        <v>-10601.4</v>
      </c>
    </row>
    <row r="3715" spans="1:4" hidden="1" x14ac:dyDescent="0.25">
      <c r="A3715" t="s">
        <v>654</v>
      </c>
      <c r="B3715" t="s">
        <v>189</v>
      </c>
      <c r="C3715" s="2">
        <f>HYPERLINK("https://sao.dolgi.msk.ru/account/1404242473/", 1404242473)</f>
        <v>1404242473</v>
      </c>
      <c r="D3715">
        <v>0</v>
      </c>
    </row>
    <row r="3716" spans="1:4" hidden="1" x14ac:dyDescent="0.25">
      <c r="A3716" t="s">
        <v>654</v>
      </c>
      <c r="B3716" t="s">
        <v>190</v>
      </c>
      <c r="C3716" s="2">
        <f>HYPERLINK("https://sao.dolgi.msk.ru/account/1404241489/", 1404241489)</f>
        <v>1404241489</v>
      </c>
      <c r="D3716">
        <v>-5892.17</v>
      </c>
    </row>
    <row r="3717" spans="1:4" hidden="1" x14ac:dyDescent="0.25">
      <c r="A3717" t="s">
        <v>654</v>
      </c>
      <c r="B3717" t="s">
        <v>191</v>
      </c>
      <c r="C3717" s="2">
        <f>HYPERLINK("https://sao.dolgi.msk.ru/account/1404241083/", 1404241083)</f>
        <v>1404241083</v>
      </c>
      <c r="D3717">
        <v>0</v>
      </c>
    </row>
    <row r="3718" spans="1:4" hidden="1" x14ac:dyDescent="0.25">
      <c r="A3718" t="s">
        <v>654</v>
      </c>
      <c r="B3718" t="s">
        <v>192</v>
      </c>
      <c r="C3718" s="2">
        <f>HYPERLINK("https://sao.dolgi.msk.ru/account/1404240718/", 1404240718)</f>
        <v>1404240718</v>
      </c>
      <c r="D3718">
        <v>0</v>
      </c>
    </row>
    <row r="3719" spans="1:4" hidden="1" x14ac:dyDescent="0.25">
      <c r="A3719" t="s">
        <v>654</v>
      </c>
      <c r="B3719" t="s">
        <v>193</v>
      </c>
      <c r="C3719" s="2">
        <f>HYPERLINK("https://sao.dolgi.msk.ru/account/1404241833/", 1404241833)</f>
        <v>1404241833</v>
      </c>
      <c r="D3719">
        <v>-9190.85</v>
      </c>
    </row>
    <row r="3720" spans="1:4" hidden="1" x14ac:dyDescent="0.25">
      <c r="A3720" t="s">
        <v>654</v>
      </c>
      <c r="B3720" t="s">
        <v>194</v>
      </c>
      <c r="C3720" s="2">
        <f>HYPERLINK("https://sao.dolgi.msk.ru/account/1404241841/", 1404241841)</f>
        <v>1404241841</v>
      </c>
      <c r="D3720">
        <v>0</v>
      </c>
    </row>
    <row r="3721" spans="1:4" hidden="1" x14ac:dyDescent="0.25">
      <c r="A3721" t="s">
        <v>654</v>
      </c>
      <c r="B3721" t="s">
        <v>195</v>
      </c>
      <c r="C3721" s="2">
        <f>HYPERLINK("https://sao.dolgi.msk.ru/account/1404241868/", 1404241868)</f>
        <v>1404241868</v>
      </c>
      <c r="D3721">
        <v>-22250.53</v>
      </c>
    </row>
    <row r="3722" spans="1:4" hidden="1" x14ac:dyDescent="0.25">
      <c r="A3722" t="s">
        <v>654</v>
      </c>
      <c r="B3722" t="s">
        <v>196</v>
      </c>
      <c r="C3722" s="2">
        <f>HYPERLINK("https://sao.dolgi.msk.ru/account/1404241091/", 1404241091)</f>
        <v>1404241091</v>
      </c>
      <c r="D3722">
        <v>-9604.7000000000007</v>
      </c>
    </row>
    <row r="3723" spans="1:4" hidden="1" x14ac:dyDescent="0.25">
      <c r="A3723" t="s">
        <v>654</v>
      </c>
      <c r="B3723" t="s">
        <v>197</v>
      </c>
      <c r="C3723" s="2">
        <f>HYPERLINK("https://sao.dolgi.msk.ru/account/1404242481/", 1404242481)</f>
        <v>1404242481</v>
      </c>
      <c r="D3723">
        <v>-8544.6299999999992</v>
      </c>
    </row>
    <row r="3724" spans="1:4" hidden="1" x14ac:dyDescent="0.25">
      <c r="A3724" t="s">
        <v>654</v>
      </c>
      <c r="B3724" t="s">
        <v>198</v>
      </c>
      <c r="C3724" s="2">
        <f>HYPERLINK("https://sao.dolgi.msk.ru/account/1404241497/", 1404241497)</f>
        <v>1404241497</v>
      </c>
      <c r="D3724">
        <v>-9051.16</v>
      </c>
    </row>
    <row r="3725" spans="1:4" x14ac:dyDescent="0.25">
      <c r="A3725" t="s">
        <v>654</v>
      </c>
      <c r="B3725" t="s">
        <v>199</v>
      </c>
      <c r="C3725" s="2">
        <f>HYPERLINK("https://sao.dolgi.msk.ru/account/1404241518/", 1404241518)</f>
        <v>1404241518</v>
      </c>
      <c r="D3725">
        <v>30205.87</v>
      </c>
    </row>
    <row r="3726" spans="1:4" hidden="1" x14ac:dyDescent="0.25">
      <c r="A3726" t="s">
        <v>654</v>
      </c>
      <c r="B3726" t="s">
        <v>200</v>
      </c>
      <c r="C3726" s="2">
        <f>HYPERLINK("https://sao.dolgi.msk.ru/account/1404243126/", 1404243126)</f>
        <v>1404243126</v>
      </c>
      <c r="D3726">
        <v>-278.89999999999998</v>
      </c>
    </row>
    <row r="3727" spans="1:4" x14ac:dyDescent="0.25">
      <c r="A3727" t="s">
        <v>654</v>
      </c>
      <c r="B3727" t="s">
        <v>201</v>
      </c>
      <c r="C3727" s="2">
        <f>HYPERLINK("https://sao.dolgi.msk.ru/account/1404243396/", 1404243396)</f>
        <v>1404243396</v>
      </c>
      <c r="D3727">
        <v>31.22</v>
      </c>
    </row>
    <row r="3728" spans="1:4" hidden="1" x14ac:dyDescent="0.25">
      <c r="A3728" t="s">
        <v>654</v>
      </c>
      <c r="B3728" t="s">
        <v>202</v>
      </c>
      <c r="C3728" s="2">
        <f>HYPERLINK("https://sao.dolgi.msk.ru/account/1404241745/", 1404241745)</f>
        <v>1404241745</v>
      </c>
      <c r="D3728">
        <v>-7777.37</v>
      </c>
    </row>
    <row r="3729" spans="1:4" hidden="1" x14ac:dyDescent="0.25">
      <c r="A3729" t="s">
        <v>654</v>
      </c>
      <c r="B3729" t="s">
        <v>203</v>
      </c>
      <c r="C3729" s="2">
        <f>HYPERLINK("https://sao.dolgi.msk.ru/account/1404241067/", 1404241067)</f>
        <v>1404241067</v>
      </c>
      <c r="D3729">
        <v>-8809.6299999999992</v>
      </c>
    </row>
    <row r="3730" spans="1:4" hidden="1" x14ac:dyDescent="0.25">
      <c r="A3730" t="s">
        <v>654</v>
      </c>
      <c r="B3730" t="s">
        <v>204</v>
      </c>
      <c r="C3730" s="2">
        <f>HYPERLINK("https://sao.dolgi.msk.ru/account/1404243097/", 1404243097)</f>
        <v>1404243097</v>
      </c>
      <c r="D3730">
        <v>-2455.3200000000002</v>
      </c>
    </row>
    <row r="3731" spans="1:4" hidden="1" x14ac:dyDescent="0.25">
      <c r="A3731" t="s">
        <v>654</v>
      </c>
      <c r="B3731" t="s">
        <v>204</v>
      </c>
      <c r="C3731" s="2">
        <f>HYPERLINK("https://sao.dolgi.msk.ru/account/1404243214/", 1404243214)</f>
        <v>1404243214</v>
      </c>
      <c r="D3731">
        <v>-4959.7700000000004</v>
      </c>
    </row>
    <row r="3732" spans="1:4" x14ac:dyDescent="0.25">
      <c r="A3732" t="s">
        <v>654</v>
      </c>
      <c r="B3732" t="s">
        <v>205</v>
      </c>
      <c r="C3732" s="2">
        <f>HYPERLINK("https://sao.dolgi.msk.ru/account/1404241104/", 1404241104)</f>
        <v>1404241104</v>
      </c>
      <c r="D3732">
        <v>6833.68</v>
      </c>
    </row>
    <row r="3733" spans="1:4" x14ac:dyDescent="0.25">
      <c r="A3733" t="s">
        <v>654</v>
      </c>
      <c r="B3733" t="s">
        <v>205</v>
      </c>
      <c r="C3733" s="2">
        <f>HYPERLINK("https://sao.dolgi.msk.ru/account/1404242131/", 1404242131)</f>
        <v>1404242131</v>
      </c>
      <c r="D3733">
        <v>8576.41</v>
      </c>
    </row>
    <row r="3734" spans="1:4" hidden="1" x14ac:dyDescent="0.25">
      <c r="A3734" t="s">
        <v>654</v>
      </c>
      <c r="B3734" t="s">
        <v>206</v>
      </c>
      <c r="C3734" s="2">
        <f>HYPERLINK("https://sao.dolgi.msk.ru/account/1404242158/", 1404242158)</f>
        <v>1404242158</v>
      </c>
      <c r="D3734">
        <v>-3033.88</v>
      </c>
    </row>
    <row r="3735" spans="1:4" hidden="1" x14ac:dyDescent="0.25">
      <c r="A3735" t="s">
        <v>654</v>
      </c>
      <c r="B3735" t="s">
        <v>206</v>
      </c>
      <c r="C3735" s="2">
        <f>HYPERLINK("https://sao.dolgi.msk.ru/account/1404242748/", 1404242748)</f>
        <v>1404242748</v>
      </c>
      <c r="D3735">
        <v>-2596.6999999999998</v>
      </c>
    </row>
    <row r="3736" spans="1:4" hidden="1" x14ac:dyDescent="0.25">
      <c r="A3736" t="s">
        <v>654</v>
      </c>
      <c r="B3736" t="s">
        <v>207</v>
      </c>
      <c r="C3736" s="2">
        <f>HYPERLINK("https://sao.dolgi.msk.ru/account/1404242166/", 1404242166)</f>
        <v>1404242166</v>
      </c>
      <c r="D3736">
        <v>-6048.67</v>
      </c>
    </row>
    <row r="3737" spans="1:4" hidden="1" x14ac:dyDescent="0.25">
      <c r="A3737" t="s">
        <v>654</v>
      </c>
      <c r="B3737" t="s">
        <v>208</v>
      </c>
      <c r="C3737" s="2">
        <f>HYPERLINK("https://sao.dolgi.msk.ru/account/1404242529/", 1404242529)</f>
        <v>1404242529</v>
      </c>
      <c r="D3737">
        <v>-9554.73</v>
      </c>
    </row>
    <row r="3738" spans="1:4" hidden="1" x14ac:dyDescent="0.25">
      <c r="A3738" t="s">
        <v>654</v>
      </c>
      <c r="B3738" t="s">
        <v>209</v>
      </c>
      <c r="C3738" s="2">
        <f>HYPERLINK("https://sao.dolgi.msk.ru/account/1404240734/", 1404240734)</f>
        <v>1404240734</v>
      </c>
      <c r="D3738">
        <v>0</v>
      </c>
    </row>
    <row r="3739" spans="1:4" hidden="1" x14ac:dyDescent="0.25">
      <c r="A3739" t="s">
        <v>654</v>
      </c>
      <c r="B3739" t="s">
        <v>210</v>
      </c>
      <c r="C3739" s="2">
        <f>HYPERLINK("https://sao.dolgi.msk.ru/account/1404242836/", 1404242836)</f>
        <v>1404242836</v>
      </c>
      <c r="D3739">
        <v>-6797.82</v>
      </c>
    </row>
    <row r="3740" spans="1:4" hidden="1" x14ac:dyDescent="0.25">
      <c r="A3740" t="s">
        <v>654</v>
      </c>
      <c r="B3740" t="s">
        <v>211</v>
      </c>
      <c r="C3740" s="2">
        <f>HYPERLINK("https://sao.dolgi.msk.ru/account/1404243222/", 1404243222)</f>
        <v>1404243222</v>
      </c>
      <c r="D3740">
        <v>-9364.39</v>
      </c>
    </row>
    <row r="3741" spans="1:4" x14ac:dyDescent="0.25">
      <c r="A3741" t="s">
        <v>654</v>
      </c>
      <c r="B3741" t="s">
        <v>212</v>
      </c>
      <c r="C3741" s="2">
        <f>HYPERLINK("https://sao.dolgi.msk.ru/account/1404241876/", 1404241876)</f>
        <v>1404241876</v>
      </c>
      <c r="D3741">
        <v>14451.81</v>
      </c>
    </row>
    <row r="3742" spans="1:4" x14ac:dyDescent="0.25">
      <c r="A3742" t="s">
        <v>655</v>
      </c>
      <c r="B3742" t="s">
        <v>5</v>
      </c>
      <c r="C3742" s="2">
        <f>HYPERLINK("https://sao.dolgi.msk.ru/account/1404204792/", 1404204792)</f>
        <v>1404204792</v>
      </c>
      <c r="D3742">
        <v>1638.12</v>
      </c>
    </row>
    <row r="3743" spans="1:4" hidden="1" x14ac:dyDescent="0.25">
      <c r="A3743" t="s">
        <v>655</v>
      </c>
      <c r="B3743" t="s">
        <v>6</v>
      </c>
      <c r="C3743" s="2">
        <f>HYPERLINK("https://sao.dolgi.msk.ru/account/1404205103/", 1404205103)</f>
        <v>1404205103</v>
      </c>
      <c r="D3743">
        <v>-3581.52</v>
      </c>
    </row>
    <row r="3744" spans="1:4" x14ac:dyDescent="0.25">
      <c r="A3744" t="s">
        <v>655</v>
      </c>
      <c r="B3744" t="s">
        <v>7</v>
      </c>
      <c r="C3744" s="2">
        <f>HYPERLINK("https://sao.dolgi.msk.ru/account/1404204362/", 1404204362)</f>
        <v>1404204362</v>
      </c>
      <c r="D3744">
        <v>13982.02</v>
      </c>
    </row>
    <row r="3745" spans="1:4" x14ac:dyDescent="0.25">
      <c r="A3745" t="s">
        <v>655</v>
      </c>
      <c r="B3745" t="s">
        <v>8</v>
      </c>
      <c r="C3745" s="2">
        <f>HYPERLINK("https://sao.dolgi.msk.ru/account/1404204581/", 1404204581)</f>
        <v>1404204581</v>
      </c>
      <c r="D3745">
        <v>17921.14</v>
      </c>
    </row>
    <row r="3746" spans="1:4" hidden="1" x14ac:dyDescent="0.25">
      <c r="A3746" t="s">
        <v>655</v>
      </c>
      <c r="B3746" t="s">
        <v>9</v>
      </c>
      <c r="C3746" s="2">
        <f>HYPERLINK("https://sao.dolgi.msk.ru/account/1404204477/", 1404204477)</f>
        <v>1404204477</v>
      </c>
      <c r="D3746">
        <v>0</v>
      </c>
    </row>
    <row r="3747" spans="1:4" hidden="1" x14ac:dyDescent="0.25">
      <c r="A3747" t="s">
        <v>655</v>
      </c>
      <c r="B3747" t="s">
        <v>10</v>
      </c>
      <c r="C3747" s="2">
        <f>HYPERLINK("https://sao.dolgi.msk.ru/account/1404204645/", 1404204645)</f>
        <v>1404204645</v>
      </c>
      <c r="D3747">
        <v>-1780.25</v>
      </c>
    </row>
    <row r="3748" spans="1:4" hidden="1" x14ac:dyDescent="0.25">
      <c r="A3748" t="s">
        <v>655</v>
      </c>
      <c r="B3748" t="s">
        <v>10</v>
      </c>
      <c r="C3748" s="2">
        <f>HYPERLINK("https://sao.dolgi.msk.ru/account/1404205445/", 1404205445)</f>
        <v>1404205445</v>
      </c>
      <c r="D3748">
        <v>-1383.18</v>
      </c>
    </row>
    <row r="3749" spans="1:4" hidden="1" x14ac:dyDescent="0.25">
      <c r="A3749" t="s">
        <v>655</v>
      </c>
      <c r="B3749" t="s">
        <v>11</v>
      </c>
      <c r="C3749" s="2">
        <f>HYPERLINK("https://sao.dolgi.msk.ru/account/1404205461/", 1404205461)</f>
        <v>1404205461</v>
      </c>
      <c r="D3749">
        <v>-2931.26</v>
      </c>
    </row>
    <row r="3750" spans="1:4" x14ac:dyDescent="0.25">
      <c r="A3750" t="s">
        <v>655</v>
      </c>
      <c r="B3750" t="s">
        <v>12</v>
      </c>
      <c r="C3750" s="2">
        <f>HYPERLINK("https://sao.dolgi.msk.ru/account/1404204776/", 1404204776)</f>
        <v>1404204776</v>
      </c>
      <c r="D3750">
        <v>3400.83</v>
      </c>
    </row>
    <row r="3751" spans="1:4" hidden="1" x14ac:dyDescent="0.25">
      <c r="A3751" t="s">
        <v>655</v>
      </c>
      <c r="B3751" t="s">
        <v>13</v>
      </c>
      <c r="C3751" s="2">
        <f>HYPERLINK("https://sao.dolgi.msk.ru/account/1404204071/", 1404204071)</f>
        <v>1404204071</v>
      </c>
      <c r="D3751">
        <v>0</v>
      </c>
    </row>
    <row r="3752" spans="1:4" hidden="1" x14ac:dyDescent="0.25">
      <c r="A3752" t="s">
        <v>655</v>
      </c>
      <c r="B3752" t="s">
        <v>14</v>
      </c>
      <c r="C3752" s="2">
        <f>HYPERLINK("https://sao.dolgi.msk.ru/account/1404204805/", 1404204805)</f>
        <v>1404204805</v>
      </c>
      <c r="D3752">
        <v>-553.44000000000005</v>
      </c>
    </row>
    <row r="3753" spans="1:4" hidden="1" x14ac:dyDescent="0.25">
      <c r="A3753" t="s">
        <v>655</v>
      </c>
      <c r="B3753" t="s">
        <v>15</v>
      </c>
      <c r="C3753" s="2">
        <f>HYPERLINK("https://sao.dolgi.msk.ru/account/1404204709/", 1404204709)</f>
        <v>1404204709</v>
      </c>
      <c r="D3753">
        <v>-5487.65</v>
      </c>
    </row>
    <row r="3754" spans="1:4" x14ac:dyDescent="0.25">
      <c r="A3754" t="s">
        <v>655</v>
      </c>
      <c r="B3754" t="s">
        <v>16</v>
      </c>
      <c r="C3754" s="2">
        <f>HYPERLINK("https://sao.dolgi.msk.ru/account/1404204717/", 1404204717)</f>
        <v>1404204717</v>
      </c>
      <c r="D3754">
        <v>6673.22</v>
      </c>
    </row>
    <row r="3755" spans="1:4" x14ac:dyDescent="0.25">
      <c r="A3755" t="s">
        <v>655</v>
      </c>
      <c r="B3755" t="s">
        <v>16</v>
      </c>
      <c r="C3755" s="2">
        <f>HYPERLINK("https://sao.dolgi.msk.ru/account/1404204872/", 1404204872)</f>
        <v>1404204872</v>
      </c>
      <c r="D3755">
        <v>3679.09</v>
      </c>
    </row>
    <row r="3756" spans="1:4" hidden="1" x14ac:dyDescent="0.25">
      <c r="A3756" t="s">
        <v>655</v>
      </c>
      <c r="B3756" t="s">
        <v>17</v>
      </c>
      <c r="C3756" s="2">
        <f>HYPERLINK("https://sao.dolgi.msk.ru/account/1404205074/", 1404205074)</f>
        <v>1404205074</v>
      </c>
      <c r="D3756">
        <v>0</v>
      </c>
    </row>
    <row r="3757" spans="1:4" x14ac:dyDescent="0.25">
      <c r="A3757" t="s">
        <v>655</v>
      </c>
      <c r="B3757" t="s">
        <v>18</v>
      </c>
      <c r="C3757" s="2">
        <f>HYPERLINK("https://sao.dolgi.msk.ru/account/1404205285/", 1404205285)</f>
        <v>1404205285</v>
      </c>
      <c r="D3757">
        <v>35652.230000000003</v>
      </c>
    </row>
    <row r="3758" spans="1:4" x14ac:dyDescent="0.25">
      <c r="A3758" t="s">
        <v>655</v>
      </c>
      <c r="B3758" t="s">
        <v>19</v>
      </c>
      <c r="C3758" s="2">
        <f>HYPERLINK("https://sao.dolgi.msk.ru/account/1404205082/", 1404205082)</f>
        <v>1404205082</v>
      </c>
      <c r="D3758">
        <v>55104.7</v>
      </c>
    </row>
    <row r="3759" spans="1:4" hidden="1" x14ac:dyDescent="0.25">
      <c r="A3759" t="s">
        <v>655</v>
      </c>
      <c r="B3759" t="s">
        <v>20</v>
      </c>
      <c r="C3759" s="2">
        <f>HYPERLINK("https://sao.dolgi.msk.ru/account/1404204952/", 1404204952)</f>
        <v>1404204952</v>
      </c>
      <c r="D3759">
        <v>0</v>
      </c>
    </row>
    <row r="3760" spans="1:4" hidden="1" x14ac:dyDescent="0.25">
      <c r="A3760" t="s">
        <v>655</v>
      </c>
      <c r="B3760" t="s">
        <v>21</v>
      </c>
      <c r="C3760" s="2">
        <f>HYPERLINK("https://sao.dolgi.msk.ru/account/1404204338/", 1404204338)</f>
        <v>1404204338</v>
      </c>
      <c r="D3760">
        <v>-4699.3100000000004</v>
      </c>
    </row>
    <row r="3761" spans="1:4" hidden="1" x14ac:dyDescent="0.25">
      <c r="A3761" t="s">
        <v>655</v>
      </c>
      <c r="B3761" t="s">
        <v>22</v>
      </c>
      <c r="C3761" s="2">
        <f>HYPERLINK("https://sao.dolgi.msk.ru/account/1404205293/", 1404205293)</f>
        <v>1404205293</v>
      </c>
      <c r="D3761">
        <v>0</v>
      </c>
    </row>
    <row r="3762" spans="1:4" hidden="1" x14ac:dyDescent="0.25">
      <c r="A3762" t="s">
        <v>655</v>
      </c>
      <c r="B3762" t="s">
        <v>23</v>
      </c>
      <c r="C3762" s="2">
        <f>HYPERLINK("https://sao.dolgi.msk.ru/account/1404204346/", 1404204346)</f>
        <v>1404204346</v>
      </c>
      <c r="D3762">
        <v>-4614.5600000000004</v>
      </c>
    </row>
    <row r="3763" spans="1:4" x14ac:dyDescent="0.25">
      <c r="A3763" t="s">
        <v>655</v>
      </c>
      <c r="B3763" t="s">
        <v>24</v>
      </c>
      <c r="C3763" s="2">
        <f>HYPERLINK("https://sao.dolgi.msk.ru/account/1404204979/", 1404204979)</f>
        <v>1404204979</v>
      </c>
      <c r="D3763">
        <v>59822.03</v>
      </c>
    </row>
    <row r="3764" spans="1:4" hidden="1" x14ac:dyDescent="0.25">
      <c r="A3764" t="s">
        <v>655</v>
      </c>
      <c r="B3764" t="s">
        <v>25</v>
      </c>
      <c r="C3764" s="2">
        <f>HYPERLINK("https://sao.dolgi.msk.ru/account/1404204135/", 1404204135)</f>
        <v>1404204135</v>
      </c>
      <c r="D3764">
        <v>-7296.83</v>
      </c>
    </row>
    <row r="3765" spans="1:4" hidden="1" x14ac:dyDescent="0.25">
      <c r="A3765" t="s">
        <v>655</v>
      </c>
      <c r="B3765" t="s">
        <v>26</v>
      </c>
      <c r="C3765" s="2">
        <f>HYPERLINK("https://sao.dolgi.msk.ru/account/1404205306/", 1404205306)</f>
        <v>1404205306</v>
      </c>
      <c r="D3765">
        <v>-3346.79</v>
      </c>
    </row>
    <row r="3766" spans="1:4" hidden="1" x14ac:dyDescent="0.25">
      <c r="A3766" t="s">
        <v>655</v>
      </c>
      <c r="B3766" t="s">
        <v>27</v>
      </c>
      <c r="C3766" s="2">
        <f>HYPERLINK("https://sao.dolgi.msk.ru/account/1404205111/", 1404205111)</f>
        <v>1404205111</v>
      </c>
      <c r="D3766">
        <v>0</v>
      </c>
    </row>
    <row r="3767" spans="1:4" x14ac:dyDescent="0.25">
      <c r="A3767" t="s">
        <v>655</v>
      </c>
      <c r="B3767" t="s">
        <v>28</v>
      </c>
      <c r="C3767" s="2">
        <f>HYPERLINK("https://sao.dolgi.msk.ru/account/1404204848/", 1404204848)</f>
        <v>1404204848</v>
      </c>
      <c r="D3767">
        <v>22240.31</v>
      </c>
    </row>
    <row r="3768" spans="1:4" hidden="1" x14ac:dyDescent="0.25">
      <c r="A3768" t="s">
        <v>655</v>
      </c>
      <c r="B3768" t="s">
        <v>29</v>
      </c>
      <c r="C3768" s="2">
        <f>HYPERLINK("https://sao.dolgi.msk.ru/account/1404204856/", 1404204856)</f>
        <v>1404204856</v>
      </c>
      <c r="D3768">
        <v>0</v>
      </c>
    </row>
    <row r="3769" spans="1:4" x14ac:dyDescent="0.25">
      <c r="A3769" t="s">
        <v>655</v>
      </c>
      <c r="B3769" t="s">
        <v>30</v>
      </c>
      <c r="C3769" s="2">
        <f>HYPERLINK("https://sao.dolgi.msk.ru/account/1404204557/", 1404204557)</f>
        <v>1404204557</v>
      </c>
      <c r="D3769">
        <v>9403.02</v>
      </c>
    </row>
    <row r="3770" spans="1:4" hidden="1" x14ac:dyDescent="0.25">
      <c r="A3770" t="s">
        <v>655</v>
      </c>
      <c r="B3770" t="s">
        <v>30</v>
      </c>
      <c r="C3770" s="2">
        <f>HYPERLINK("https://sao.dolgi.msk.ru/account/1404205146/", 1404205146)</f>
        <v>1404205146</v>
      </c>
      <c r="D3770">
        <v>-3812.22</v>
      </c>
    </row>
    <row r="3771" spans="1:4" hidden="1" x14ac:dyDescent="0.25">
      <c r="A3771" t="s">
        <v>655</v>
      </c>
      <c r="B3771" t="s">
        <v>31</v>
      </c>
      <c r="C3771" s="2">
        <f>HYPERLINK("https://sao.dolgi.msk.ru/account/1404205138/", 1404205138)</f>
        <v>1404205138</v>
      </c>
      <c r="D3771">
        <v>-5791.82</v>
      </c>
    </row>
    <row r="3772" spans="1:4" x14ac:dyDescent="0.25">
      <c r="A3772" t="s">
        <v>655</v>
      </c>
      <c r="B3772" t="s">
        <v>32</v>
      </c>
      <c r="C3772" s="2">
        <f>HYPERLINK("https://sao.dolgi.msk.ru/account/1404204354/", 1404204354)</f>
        <v>1404204354</v>
      </c>
      <c r="D3772">
        <v>12800.43</v>
      </c>
    </row>
    <row r="3773" spans="1:4" x14ac:dyDescent="0.25">
      <c r="A3773" t="s">
        <v>655</v>
      </c>
      <c r="B3773" t="s">
        <v>33</v>
      </c>
      <c r="C3773" s="2">
        <f>HYPERLINK("https://sao.dolgi.msk.ru/account/1404204725/", 1404204725)</f>
        <v>1404204725</v>
      </c>
      <c r="D3773">
        <v>11311.89</v>
      </c>
    </row>
    <row r="3774" spans="1:4" hidden="1" x14ac:dyDescent="0.25">
      <c r="A3774" t="s">
        <v>655</v>
      </c>
      <c r="B3774" t="s">
        <v>34</v>
      </c>
      <c r="C3774" s="2">
        <f>HYPERLINK("https://sao.dolgi.msk.ru/account/1404204987/", 1404204987)</f>
        <v>1404204987</v>
      </c>
      <c r="D3774">
        <v>-2431.8000000000002</v>
      </c>
    </row>
    <row r="3775" spans="1:4" x14ac:dyDescent="0.25">
      <c r="A3775" t="s">
        <v>655</v>
      </c>
      <c r="B3775" t="s">
        <v>35</v>
      </c>
      <c r="C3775" s="2">
        <f>HYPERLINK("https://sao.dolgi.msk.ru/account/1404204389/", 1404204389)</f>
        <v>1404204389</v>
      </c>
      <c r="D3775">
        <v>8394.2800000000007</v>
      </c>
    </row>
    <row r="3776" spans="1:4" hidden="1" x14ac:dyDescent="0.25">
      <c r="A3776" t="s">
        <v>655</v>
      </c>
      <c r="B3776" t="s">
        <v>36</v>
      </c>
      <c r="C3776" s="2">
        <f>HYPERLINK("https://sao.dolgi.msk.ru/account/1404205314/", 1404205314)</f>
        <v>1404205314</v>
      </c>
      <c r="D3776">
        <v>0</v>
      </c>
    </row>
    <row r="3777" spans="1:4" hidden="1" x14ac:dyDescent="0.25">
      <c r="A3777" t="s">
        <v>655</v>
      </c>
      <c r="B3777" t="s">
        <v>37</v>
      </c>
      <c r="C3777" s="2">
        <f>HYPERLINK("https://sao.dolgi.msk.ru/account/1404205322/", 1404205322)</f>
        <v>1404205322</v>
      </c>
      <c r="D3777">
        <v>-4287.32</v>
      </c>
    </row>
    <row r="3778" spans="1:4" x14ac:dyDescent="0.25">
      <c r="A3778" t="s">
        <v>655</v>
      </c>
      <c r="B3778" t="s">
        <v>38</v>
      </c>
      <c r="C3778" s="2">
        <f>HYPERLINK("https://sao.dolgi.msk.ru/account/1404204397/", 1404204397)</f>
        <v>1404204397</v>
      </c>
      <c r="D3778">
        <v>39832.06</v>
      </c>
    </row>
    <row r="3779" spans="1:4" hidden="1" x14ac:dyDescent="0.25">
      <c r="A3779" t="s">
        <v>655</v>
      </c>
      <c r="B3779" t="s">
        <v>39</v>
      </c>
      <c r="C3779" s="2">
        <f>HYPERLINK("https://sao.dolgi.msk.ru/account/1404204418/", 1404204418)</f>
        <v>1404204418</v>
      </c>
      <c r="D3779">
        <v>-2758.02</v>
      </c>
    </row>
    <row r="3780" spans="1:4" hidden="1" x14ac:dyDescent="0.25">
      <c r="A3780" t="s">
        <v>655</v>
      </c>
      <c r="B3780" t="s">
        <v>40</v>
      </c>
      <c r="C3780" s="2">
        <f>HYPERLINK("https://sao.dolgi.msk.ru/account/1404204565/", 1404204565)</f>
        <v>1404204565</v>
      </c>
      <c r="D3780">
        <v>-5444.29</v>
      </c>
    </row>
    <row r="3781" spans="1:4" x14ac:dyDescent="0.25">
      <c r="A3781" t="s">
        <v>655</v>
      </c>
      <c r="B3781" t="s">
        <v>41</v>
      </c>
      <c r="C3781" s="2">
        <f>HYPERLINK("https://sao.dolgi.msk.ru/account/1404205349/", 1404205349)</f>
        <v>1404205349</v>
      </c>
      <c r="D3781">
        <v>7159.42</v>
      </c>
    </row>
    <row r="3782" spans="1:4" hidden="1" x14ac:dyDescent="0.25">
      <c r="A3782" t="s">
        <v>655</v>
      </c>
      <c r="B3782" t="s">
        <v>42</v>
      </c>
      <c r="C3782" s="2">
        <f>HYPERLINK("https://sao.dolgi.msk.ru/account/1404204573/", 1404204573)</f>
        <v>1404204573</v>
      </c>
      <c r="D3782">
        <v>0</v>
      </c>
    </row>
    <row r="3783" spans="1:4" x14ac:dyDescent="0.25">
      <c r="A3783" t="s">
        <v>655</v>
      </c>
      <c r="B3783" t="s">
        <v>43</v>
      </c>
      <c r="C3783" s="2">
        <f>HYPERLINK("https://sao.dolgi.msk.ru/account/1404204995/", 1404204995)</f>
        <v>1404204995</v>
      </c>
      <c r="D3783">
        <v>13611.27</v>
      </c>
    </row>
    <row r="3784" spans="1:4" x14ac:dyDescent="0.25">
      <c r="A3784" t="s">
        <v>655</v>
      </c>
      <c r="B3784" t="s">
        <v>44</v>
      </c>
      <c r="C3784" s="2">
        <f>HYPERLINK("https://sao.dolgi.msk.ru/account/1404204733/", 1404204733)</f>
        <v>1404204733</v>
      </c>
      <c r="D3784">
        <v>19377.84</v>
      </c>
    </row>
    <row r="3785" spans="1:4" hidden="1" x14ac:dyDescent="0.25">
      <c r="A3785" t="s">
        <v>655</v>
      </c>
      <c r="B3785" t="s">
        <v>45</v>
      </c>
      <c r="C3785" s="2">
        <f>HYPERLINK("https://sao.dolgi.msk.ru/account/1404204864/", 1404204864)</f>
        <v>1404204864</v>
      </c>
      <c r="D3785">
        <v>0</v>
      </c>
    </row>
    <row r="3786" spans="1:4" hidden="1" x14ac:dyDescent="0.25">
      <c r="A3786" t="s">
        <v>655</v>
      </c>
      <c r="B3786" t="s">
        <v>46</v>
      </c>
      <c r="C3786" s="2">
        <f>HYPERLINK("https://sao.dolgi.msk.ru/account/1404205154/", 1404205154)</f>
        <v>1404205154</v>
      </c>
      <c r="D3786">
        <v>-3680.17</v>
      </c>
    </row>
    <row r="3787" spans="1:4" hidden="1" x14ac:dyDescent="0.25">
      <c r="A3787" t="s">
        <v>655</v>
      </c>
      <c r="B3787" t="s">
        <v>47</v>
      </c>
      <c r="C3787" s="2">
        <f>HYPERLINK("https://sao.dolgi.msk.ru/account/1404204426/", 1404204426)</f>
        <v>1404204426</v>
      </c>
      <c r="D3787">
        <v>-3108.67</v>
      </c>
    </row>
    <row r="3788" spans="1:4" hidden="1" x14ac:dyDescent="0.25">
      <c r="A3788" t="s">
        <v>655</v>
      </c>
      <c r="B3788" t="s">
        <v>48</v>
      </c>
      <c r="C3788" s="2">
        <f>HYPERLINK("https://sao.dolgi.msk.ru/account/1404204741/", 1404204741)</f>
        <v>1404204741</v>
      </c>
      <c r="D3788">
        <v>-5892.4</v>
      </c>
    </row>
    <row r="3789" spans="1:4" hidden="1" x14ac:dyDescent="0.25">
      <c r="A3789" t="s">
        <v>655</v>
      </c>
      <c r="B3789" t="s">
        <v>49</v>
      </c>
      <c r="C3789" s="2">
        <f>HYPERLINK("https://sao.dolgi.msk.ru/account/1404205357/", 1404205357)</f>
        <v>1404205357</v>
      </c>
      <c r="D3789">
        <v>-6397.46</v>
      </c>
    </row>
    <row r="3790" spans="1:4" hidden="1" x14ac:dyDescent="0.25">
      <c r="A3790" t="s">
        <v>655</v>
      </c>
      <c r="B3790" t="s">
        <v>50</v>
      </c>
      <c r="C3790" s="2">
        <f>HYPERLINK("https://sao.dolgi.msk.ru/account/1404205365/", 1404205365)</f>
        <v>1404205365</v>
      </c>
      <c r="D3790">
        <v>-4292.6899999999996</v>
      </c>
    </row>
    <row r="3791" spans="1:4" hidden="1" x14ac:dyDescent="0.25">
      <c r="A3791" t="s">
        <v>655</v>
      </c>
      <c r="B3791" t="s">
        <v>51</v>
      </c>
      <c r="C3791" s="2">
        <f>HYPERLINK("https://sao.dolgi.msk.ru/account/1404204768/", 1404204768)</f>
        <v>1404204768</v>
      </c>
      <c r="D3791">
        <v>0</v>
      </c>
    </row>
    <row r="3792" spans="1:4" x14ac:dyDescent="0.25">
      <c r="A3792" t="s">
        <v>655</v>
      </c>
      <c r="B3792" t="s">
        <v>52</v>
      </c>
      <c r="C3792" s="2">
        <f>HYPERLINK("https://sao.dolgi.msk.ru/account/1404204696/", 1404204696)</f>
        <v>1404204696</v>
      </c>
      <c r="D3792">
        <v>1421.9</v>
      </c>
    </row>
    <row r="3793" spans="1:4" x14ac:dyDescent="0.25">
      <c r="A3793" t="s">
        <v>655</v>
      </c>
      <c r="B3793" t="s">
        <v>53</v>
      </c>
      <c r="C3793" s="2">
        <f>HYPERLINK("https://sao.dolgi.msk.ru/account/1404204274/", 1404204274)</f>
        <v>1404204274</v>
      </c>
      <c r="D3793">
        <v>5401.76</v>
      </c>
    </row>
    <row r="3794" spans="1:4" hidden="1" x14ac:dyDescent="0.25">
      <c r="A3794" t="s">
        <v>655</v>
      </c>
      <c r="B3794" t="s">
        <v>54</v>
      </c>
      <c r="C3794" s="2">
        <f>HYPERLINK("https://sao.dolgi.msk.ru/account/1404205402/", 1404205402)</f>
        <v>1404205402</v>
      </c>
      <c r="D3794">
        <v>0</v>
      </c>
    </row>
    <row r="3795" spans="1:4" hidden="1" x14ac:dyDescent="0.25">
      <c r="A3795" t="s">
        <v>655</v>
      </c>
      <c r="B3795" t="s">
        <v>55</v>
      </c>
      <c r="C3795" s="2">
        <f>HYPERLINK("https://sao.dolgi.msk.ru/account/1404205015/", 1404205015)</f>
        <v>1404205015</v>
      </c>
      <c r="D3795">
        <v>-5012.33</v>
      </c>
    </row>
    <row r="3796" spans="1:4" x14ac:dyDescent="0.25">
      <c r="A3796" t="s">
        <v>655</v>
      </c>
      <c r="B3796" t="s">
        <v>56</v>
      </c>
      <c r="C3796" s="2">
        <f>HYPERLINK("https://sao.dolgi.msk.ru/account/1404204151/", 1404204151)</f>
        <v>1404204151</v>
      </c>
      <c r="D3796">
        <v>7942.93</v>
      </c>
    </row>
    <row r="3797" spans="1:4" hidden="1" x14ac:dyDescent="0.25">
      <c r="A3797" t="s">
        <v>655</v>
      </c>
      <c r="B3797" t="s">
        <v>57</v>
      </c>
      <c r="C3797" s="2">
        <f>HYPERLINK("https://sao.dolgi.msk.ru/account/1404204637/", 1404204637)</f>
        <v>1404204637</v>
      </c>
      <c r="D3797">
        <v>0</v>
      </c>
    </row>
    <row r="3798" spans="1:4" x14ac:dyDescent="0.25">
      <c r="A3798" t="s">
        <v>655</v>
      </c>
      <c r="B3798" t="s">
        <v>58</v>
      </c>
      <c r="C3798" s="2">
        <f>HYPERLINK("https://sao.dolgi.msk.ru/account/1404205429/", 1404205429)</f>
        <v>1404205429</v>
      </c>
      <c r="D3798">
        <v>8017.05</v>
      </c>
    </row>
    <row r="3799" spans="1:4" hidden="1" x14ac:dyDescent="0.25">
      <c r="A3799" t="s">
        <v>655</v>
      </c>
      <c r="B3799" t="s">
        <v>59</v>
      </c>
      <c r="C3799" s="2">
        <f>HYPERLINK("https://sao.dolgi.msk.ru/account/1404204178/", 1404204178)</f>
        <v>1404204178</v>
      </c>
      <c r="D3799">
        <v>0</v>
      </c>
    </row>
    <row r="3800" spans="1:4" hidden="1" x14ac:dyDescent="0.25">
      <c r="A3800" t="s">
        <v>655</v>
      </c>
      <c r="B3800" t="s">
        <v>60</v>
      </c>
      <c r="C3800" s="2">
        <f>HYPERLINK("https://sao.dolgi.msk.ru/account/1404205023/", 1404205023)</f>
        <v>1404205023</v>
      </c>
      <c r="D3800">
        <v>0</v>
      </c>
    </row>
    <row r="3801" spans="1:4" x14ac:dyDescent="0.25">
      <c r="A3801" t="s">
        <v>655</v>
      </c>
      <c r="B3801" t="s">
        <v>61</v>
      </c>
      <c r="C3801" s="2">
        <f>HYPERLINK("https://sao.dolgi.msk.ru/account/1404205437/", 1404205437)</f>
        <v>1404205437</v>
      </c>
      <c r="D3801">
        <v>1957.59</v>
      </c>
    </row>
    <row r="3802" spans="1:4" hidden="1" x14ac:dyDescent="0.25">
      <c r="A3802" t="s">
        <v>655</v>
      </c>
      <c r="B3802" t="s">
        <v>62</v>
      </c>
      <c r="C3802" s="2">
        <f>HYPERLINK("https://sao.dolgi.msk.ru/account/1404204186/", 1404204186)</f>
        <v>1404204186</v>
      </c>
      <c r="D3802">
        <v>-2452.77</v>
      </c>
    </row>
    <row r="3803" spans="1:4" x14ac:dyDescent="0.25">
      <c r="A3803" t="s">
        <v>655</v>
      </c>
      <c r="B3803" t="s">
        <v>63</v>
      </c>
      <c r="C3803" s="2">
        <f>HYPERLINK("https://sao.dolgi.msk.ru/account/1404205031/", 1404205031)</f>
        <v>1404205031</v>
      </c>
      <c r="D3803">
        <v>39.479999999999997</v>
      </c>
    </row>
    <row r="3804" spans="1:4" hidden="1" x14ac:dyDescent="0.25">
      <c r="A3804" t="s">
        <v>655</v>
      </c>
      <c r="B3804" t="s">
        <v>64</v>
      </c>
      <c r="C3804" s="2">
        <f>HYPERLINK("https://sao.dolgi.msk.ru/account/1404204928/", 1404204928)</f>
        <v>1404204928</v>
      </c>
      <c r="D3804">
        <v>-3625.19</v>
      </c>
    </row>
    <row r="3805" spans="1:4" hidden="1" x14ac:dyDescent="0.25">
      <c r="A3805" t="s">
        <v>655</v>
      </c>
      <c r="B3805" t="s">
        <v>65</v>
      </c>
      <c r="C3805" s="2">
        <f>HYPERLINK("https://sao.dolgi.msk.ru/account/1404204784/", 1404204784)</f>
        <v>1404204784</v>
      </c>
      <c r="D3805">
        <v>0</v>
      </c>
    </row>
    <row r="3806" spans="1:4" hidden="1" x14ac:dyDescent="0.25">
      <c r="A3806" t="s">
        <v>655</v>
      </c>
      <c r="B3806" t="s">
        <v>66</v>
      </c>
      <c r="C3806" s="2">
        <f>HYPERLINK("https://sao.dolgi.msk.ru/account/1404204485/", 1404204485)</f>
        <v>1404204485</v>
      </c>
      <c r="D3806">
        <v>-2950.34</v>
      </c>
    </row>
    <row r="3807" spans="1:4" hidden="1" x14ac:dyDescent="0.25">
      <c r="A3807" t="s">
        <v>655</v>
      </c>
      <c r="B3807" t="s">
        <v>67</v>
      </c>
      <c r="C3807" s="2">
        <f>HYPERLINK("https://sao.dolgi.msk.ru/account/1404204194/", 1404204194)</f>
        <v>1404204194</v>
      </c>
      <c r="D3807">
        <v>-5206.87</v>
      </c>
    </row>
    <row r="3808" spans="1:4" hidden="1" x14ac:dyDescent="0.25">
      <c r="A3808" t="s">
        <v>655</v>
      </c>
      <c r="B3808" t="s">
        <v>68</v>
      </c>
      <c r="C3808" s="2">
        <f>HYPERLINK("https://sao.dolgi.msk.ru/account/1404204207/", 1404204207)</f>
        <v>1404204207</v>
      </c>
      <c r="D3808">
        <v>-10476.91</v>
      </c>
    </row>
    <row r="3809" spans="1:4" hidden="1" x14ac:dyDescent="0.25">
      <c r="A3809" t="s">
        <v>655</v>
      </c>
      <c r="B3809" t="s">
        <v>69</v>
      </c>
      <c r="C3809" s="2">
        <f>HYPERLINK("https://sao.dolgi.msk.ru/account/1404204215/", 1404204215)</f>
        <v>1404204215</v>
      </c>
      <c r="D3809">
        <v>-1428.79</v>
      </c>
    </row>
    <row r="3810" spans="1:4" x14ac:dyDescent="0.25">
      <c r="A3810" t="s">
        <v>655</v>
      </c>
      <c r="B3810" t="s">
        <v>70</v>
      </c>
      <c r="C3810" s="2">
        <f>HYPERLINK("https://sao.dolgi.msk.ru/account/1404205453/", 1404205453)</f>
        <v>1404205453</v>
      </c>
      <c r="D3810">
        <v>11158.68</v>
      </c>
    </row>
    <row r="3811" spans="1:4" hidden="1" x14ac:dyDescent="0.25">
      <c r="A3811" t="s">
        <v>655</v>
      </c>
      <c r="B3811" t="s">
        <v>71</v>
      </c>
      <c r="C3811" s="2">
        <f>HYPERLINK("https://sao.dolgi.msk.ru/account/1404204653/", 1404204653)</f>
        <v>1404204653</v>
      </c>
      <c r="D3811">
        <v>0</v>
      </c>
    </row>
    <row r="3812" spans="1:4" x14ac:dyDescent="0.25">
      <c r="A3812" t="s">
        <v>655</v>
      </c>
      <c r="B3812" t="s">
        <v>72</v>
      </c>
      <c r="C3812" s="2">
        <f>HYPERLINK("https://sao.dolgi.msk.ru/account/1404204936/", 1404204936)</f>
        <v>1404204936</v>
      </c>
      <c r="D3812">
        <v>11024.51</v>
      </c>
    </row>
    <row r="3813" spans="1:4" hidden="1" x14ac:dyDescent="0.25">
      <c r="A3813" t="s">
        <v>655</v>
      </c>
      <c r="B3813" t="s">
        <v>73</v>
      </c>
      <c r="C3813" s="2">
        <f>HYPERLINK("https://sao.dolgi.msk.ru/account/1404204661/", 1404204661)</f>
        <v>1404204661</v>
      </c>
      <c r="D3813">
        <v>-7676.12</v>
      </c>
    </row>
    <row r="3814" spans="1:4" hidden="1" x14ac:dyDescent="0.25">
      <c r="A3814" t="s">
        <v>655</v>
      </c>
      <c r="B3814" t="s">
        <v>74</v>
      </c>
      <c r="C3814" s="2">
        <f>HYPERLINK("https://sao.dolgi.msk.ru/account/1404205488/", 1404205488)</f>
        <v>1404205488</v>
      </c>
      <c r="D3814">
        <v>-3236.08</v>
      </c>
    </row>
    <row r="3815" spans="1:4" hidden="1" x14ac:dyDescent="0.25">
      <c r="A3815" t="s">
        <v>655</v>
      </c>
      <c r="B3815" t="s">
        <v>75</v>
      </c>
      <c r="C3815" s="2">
        <f>HYPERLINK("https://sao.dolgi.msk.ru/account/1404205218/", 1404205218)</f>
        <v>1404205218</v>
      </c>
      <c r="D3815">
        <v>0</v>
      </c>
    </row>
    <row r="3816" spans="1:4" x14ac:dyDescent="0.25">
      <c r="A3816" t="s">
        <v>655</v>
      </c>
      <c r="B3816" t="s">
        <v>76</v>
      </c>
      <c r="C3816" s="2">
        <f>HYPERLINK("https://sao.dolgi.msk.ru/account/1404204944/", 1404204944)</f>
        <v>1404204944</v>
      </c>
      <c r="D3816">
        <v>10785.83</v>
      </c>
    </row>
    <row r="3817" spans="1:4" hidden="1" x14ac:dyDescent="0.25">
      <c r="A3817" t="s">
        <v>655</v>
      </c>
      <c r="B3817" t="s">
        <v>77</v>
      </c>
      <c r="C3817" s="2">
        <f>HYPERLINK("https://sao.dolgi.msk.ru/account/1404205496/", 1404205496)</f>
        <v>1404205496</v>
      </c>
      <c r="D3817">
        <v>-4625.3999999999996</v>
      </c>
    </row>
    <row r="3818" spans="1:4" hidden="1" x14ac:dyDescent="0.25">
      <c r="A3818" t="s">
        <v>655</v>
      </c>
      <c r="B3818" t="s">
        <v>78</v>
      </c>
      <c r="C3818" s="2">
        <f>HYPERLINK("https://sao.dolgi.msk.ru/account/1404204821/", 1404204821)</f>
        <v>1404204821</v>
      </c>
      <c r="D3818">
        <v>-2.79</v>
      </c>
    </row>
    <row r="3819" spans="1:4" hidden="1" x14ac:dyDescent="0.25">
      <c r="A3819" t="s">
        <v>655</v>
      </c>
      <c r="B3819" t="s">
        <v>79</v>
      </c>
      <c r="C3819" s="2">
        <f>HYPERLINK("https://sao.dolgi.msk.ru/account/1404204514/", 1404204514)</f>
        <v>1404204514</v>
      </c>
      <c r="D3819">
        <v>-4873.8100000000004</v>
      </c>
    </row>
    <row r="3820" spans="1:4" hidden="1" x14ac:dyDescent="0.25">
      <c r="A3820" t="s">
        <v>655</v>
      </c>
      <c r="B3820" t="s">
        <v>80</v>
      </c>
      <c r="C3820" s="2">
        <f>HYPERLINK("https://sao.dolgi.msk.ru/account/1404205197/", 1404205197)</f>
        <v>1404205197</v>
      </c>
      <c r="D3820">
        <v>0</v>
      </c>
    </row>
    <row r="3821" spans="1:4" hidden="1" x14ac:dyDescent="0.25">
      <c r="A3821" t="s">
        <v>655</v>
      </c>
      <c r="B3821" t="s">
        <v>81</v>
      </c>
      <c r="C3821" s="2">
        <f>HYPERLINK("https://sao.dolgi.msk.ru/account/1404205189/", 1404205189)</f>
        <v>1404205189</v>
      </c>
      <c r="D3821">
        <v>0</v>
      </c>
    </row>
    <row r="3822" spans="1:4" hidden="1" x14ac:dyDescent="0.25">
      <c r="A3822" t="s">
        <v>655</v>
      </c>
      <c r="B3822" t="s">
        <v>82</v>
      </c>
      <c r="C3822" s="2">
        <f>HYPERLINK("https://sao.dolgi.msk.ru/account/1404204899/", 1404204899)</f>
        <v>1404204899</v>
      </c>
      <c r="D3822">
        <v>-2113.9699999999998</v>
      </c>
    </row>
    <row r="3823" spans="1:4" hidden="1" x14ac:dyDescent="0.25">
      <c r="A3823" t="s">
        <v>655</v>
      </c>
      <c r="B3823" t="s">
        <v>83</v>
      </c>
      <c r="C3823" s="2">
        <f>HYPERLINK("https://sao.dolgi.msk.ru/account/1404205373/", 1404205373)</f>
        <v>1404205373</v>
      </c>
      <c r="D3823">
        <v>-3492.18</v>
      </c>
    </row>
    <row r="3824" spans="1:4" hidden="1" x14ac:dyDescent="0.25">
      <c r="A3824" t="s">
        <v>655</v>
      </c>
      <c r="B3824" t="s">
        <v>84</v>
      </c>
      <c r="C3824" s="2">
        <f>HYPERLINK("https://sao.dolgi.msk.ru/account/1404204143/", 1404204143)</f>
        <v>1404204143</v>
      </c>
      <c r="D3824">
        <v>-4807.97</v>
      </c>
    </row>
    <row r="3825" spans="1:4" hidden="1" x14ac:dyDescent="0.25">
      <c r="A3825" t="s">
        <v>655</v>
      </c>
      <c r="B3825" t="s">
        <v>85</v>
      </c>
      <c r="C3825" s="2">
        <f>HYPERLINK("https://sao.dolgi.msk.ru/account/1404205381/", 1404205381)</f>
        <v>1404205381</v>
      </c>
      <c r="D3825">
        <v>-4140.8500000000004</v>
      </c>
    </row>
    <row r="3826" spans="1:4" hidden="1" x14ac:dyDescent="0.25">
      <c r="A3826" t="s">
        <v>655</v>
      </c>
      <c r="B3826" t="s">
        <v>86</v>
      </c>
      <c r="C3826" s="2">
        <f>HYPERLINK("https://sao.dolgi.msk.ru/account/1404205007/", 1404205007)</f>
        <v>1404205007</v>
      </c>
      <c r="D3826">
        <v>0</v>
      </c>
    </row>
    <row r="3827" spans="1:4" hidden="1" x14ac:dyDescent="0.25">
      <c r="A3827" t="s">
        <v>655</v>
      </c>
      <c r="B3827" t="s">
        <v>87</v>
      </c>
      <c r="C3827" s="2">
        <f>HYPERLINK("https://sao.dolgi.msk.ru/account/1404204629/", 1404204629)</f>
        <v>1404204629</v>
      </c>
      <c r="D3827">
        <v>-5322.36</v>
      </c>
    </row>
    <row r="3828" spans="1:4" x14ac:dyDescent="0.25">
      <c r="A3828" t="s">
        <v>655</v>
      </c>
      <c r="B3828" t="s">
        <v>88</v>
      </c>
      <c r="C3828" s="2">
        <f>HYPERLINK("https://sao.dolgi.msk.ru/account/1404204469/", 1404204469)</f>
        <v>1404204469</v>
      </c>
      <c r="D3828">
        <v>12410.68</v>
      </c>
    </row>
    <row r="3829" spans="1:4" x14ac:dyDescent="0.25">
      <c r="A3829" t="s">
        <v>655</v>
      </c>
      <c r="B3829" t="s">
        <v>89</v>
      </c>
      <c r="C3829" s="2">
        <f>HYPERLINK("https://sao.dolgi.msk.ru/account/1404204901/", 1404204901)</f>
        <v>1404204901</v>
      </c>
      <c r="D3829">
        <v>15907.24</v>
      </c>
    </row>
    <row r="3830" spans="1:4" hidden="1" x14ac:dyDescent="0.25">
      <c r="A3830" t="s">
        <v>655</v>
      </c>
      <c r="B3830" t="s">
        <v>90</v>
      </c>
      <c r="C3830" s="2">
        <f>HYPERLINK("https://sao.dolgi.msk.ru/account/1404204231/", 1404204231)</f>
        <v>1404204231</v>
      </c>
      <c r="D3830">
        <v>-201.71</v>
      </c>
    </row>
    <row r="3831" spans="1:4" x14ac:dyDescent="0.25">
      <c r="A3831" t="s">
        <v>655</v>
      </c>
      <c r="B3831" t="s">
        <v>91</v>
      </c>
      <c r="C3831" s="2">
        <f>HYPERLINK("https://sao.dolgi.msk.ru/account/1404204258/", 1404204258)</f>
        <v>1404204258</v>
      </c>
      <c r="D3831">
        <v>19404.2</v>
      </c>
    </row>
    <row r="3832" spans="1:4" hidden="1" x14ac:dyDescent="0.25">
      <c r="A3832" t="s">
        <v>655</v>
      </c>
      <c r="B3832" t="s">
        <v>92</v>
      </c>
      <c r="C3832" s="2">
        <f>HYPERLINK("https://sao.dolgi.msk.ru/account/1404204688/", 1404204688)</f>
        <v>1404204688</v>
      </c>
      <c r="D3832">
        <v>0</v>
      </c>
    </row>
    <row r="3833" spans="1:4" hidden="1" x14ac:dyDescent="0.25">
      <c r="A3833" t="s">
        <v>655</v>
      </c>
      <c r="B3833" t="s">
        <v>93</v>
      </c>
      <c r="C3833" s="2">
        <f>HYPERLINK("https://sao.dolgi.msk.ru/account/1404205226/", 1404205226)</f>
        <v>1404205226</v>
      </c>
      <c r="D3833">
        <v>-4600.49</v>
      </c>
    </row>
    <row r="3834" spans="1:4" hidden="1" x14ac:dyDescent="0.25">
      <c r="A3834" t="s">
        <v>655</v>
      </c>
      <c r="B3834" t="s">
        <v>94</v>
      </c>
      <c r="C3834" s="2">
        <f>HYPERLINK("https://sao.dolgi.msk.ru/account/1404204098/", 1404204098)</f>
        <v>1404204098</v>
      </c>
      <c r="D3834">
        <v>0</v>
      </c>
    </row>
    <row r="3835" spans="1:4" hidden="1" x14ac:dyDescent="0.25">
      <c r="A3835" t="s">
        <v>655</v>
      </c>
      <c r="B3835" t="s">
        <v>95</v>
      </c>
      <c r="C3835" s="2">
        <f>HYPERLINK("https://sao.dolgi.msk.ru/account/1404205234/", 1404205234)</f>
        <v>1404205234</v>
      </c>
      <c r="D3835">
        <v>0</v>
      </c>
    </row>
    <row r="3836" spans="1:4" hidden="1" x14ac:dyDescent="0.25">
      <c r="A3836" t="s">
        <v>655</v>
      </c>
      <c r="B3836" t="s">
        <v>96</v>
      </c>
      <c r="C3836" s="2">
        <f>HYPERLINK("https://sao.dolgi.msk.ru/account/1404205242/", 1404205242)</f>
        <v>1404205242</v>
      </c>
      <c r="D3836">
        <v>-7478.19</v>
      </c>
    </row>
    <row r="3837" spans="1:4" hidden="1" x14ac:dyDescent="0.25">
      <c r="A3837" t="s">
        <v>655</v>
      </c>
      <c r="B3837" t="s">
        <v>97</v>
      </c>
      <c r="C3837" s="2">
        <f>HYPERLINK("https://sao.dolgi.msk.ru/account/1404205269/", 1404205269)</f>
        <v>1404205269</v>
      </c>
      <c r="D3837">
        <v>-4562.25</v>
      </c>
    </row>
    <row r="3838" spans="1:4" hidden="1" x14ac:dyDescent="0.25">
      <c r="A3838" t="s">
        <v>655</v>
      </c>
      <c r="B3838" t="s">
        <v>98</v>
      </c>
      <c r="C3838" s="2">
        <f>HYPERLINK("https://sao.dolgi.msk.ru/account/1404204119/", 1404204119)</f>
        <v>1404204119</v>
      </c>
      <c r="D3838">
        <v>-4849.47</v>
      </c>
    </row>
    <row r="3839" spans="1:4" hidden="1" x14ac:dyDescent="0.25">
      <c r="A3839" t="s">
        <v>655</v>
      </c>
      <c r="B3839" t="s">
        <v>99</v>
      </c>
      <c r="C3839" s="2">
        <f>HYPERLINK("https://sao.dolgi.msk.ru/account/1404204266/", 1404204266)</f>
        <v>1404204266</v>
      </c>
      <c r="D3839">
        <v>0</v>
      </c>
    </row>
    <row r="3840" spans="1:4" hidden="1" x14ac:dyDescent="0.25">
      <c r="A3840" t="s">
        <v>655</v>
      </c>
      <c r="B3840" t="s">
        <v>100</v>
      </c>
      <c r="C3840" s="2">
        <f>HYPERLINK("https://sao.dolgi.msk.ru/account/1404204434/", 1404204434)</f>
        <v>1404204434</v>
      </c>
      <c r="D3840">
        <v>-5396.01</v>
      </c>
    </row>
    <row r="3841" spans="1:4" hidden="1" x14ac:dyDescent="0.25">
      <c r="A3841" t="s">
        <v>655</v>
      </c>
      <c r="B3841" t="s">
        <v>101</v>
      </c>
      <c r="C3841" s="2">
        <f>HYPERLINK("https://sao.dolgi.msk.ru/account/1404204602/", 1404204602)</f>
        <v>1404204602</v>
      </c>
      <c r="D3841">
        <v>-4840.8500000000004</v>
      </c>
    </row>
    <row r="3842" spans="1:4" hidden="1" x14ac:dyDescent="0.25">
      <c r="A3842" t="s">
        <v>655</v>
      </c>
      <c r="B3842" t="s">
        <v>102</v>
      </c>
      <c r="C3842" s="2">
        <f>HYPERLINK("https://sao.dolgi.msk.ru/account/1404205162/", 1404205162)</f>
        <v>1404205162</v>
      </c>
      <c r="D3842">
        <v>0</v>
      </c>
    </row>
    <row r="3843" spans="1:4" hidden="1" x14ac:dyDescent="0.25">
      <c r="A3843" t="s">
        <v>655</v>
      </c>
      <c r="B3843" t="s">
        <v>103</v>
      </c>
      <c r="C3843" s="2">
        <f>HYPERLINK("https://sao.dolgi.msk.ru/account/1404204442/", 1404204442)</f>
        <v>1404204442</v>
      </c>
      <c r="D3843">
        <v>-7409.78</v>
      </c>
    </row>
    <row r="3844" spans="1:4" hidden="1" x14ac:dyDescent="0.25">
      <c r="A3844" t="s">
        <v>655</v>
      </c>
      <c r="B3844" t="s">
        <v>104</v>
      </c>
      <c r="C3844" s="2">
        <f>HYPERLINK("https://sao.dolgi.msk.ru/account/1404204493/", 1404204493)</f>
        <v>1404204493</v>
      </c>
      <c r="D3844">
        <v>0</v>
      </c>
    </row>
    <row r="3845" spans="1:4" x14ac:dyDescent="0.25">
      <c r="A3845" t="s">
        <v>655</v>
      </c>
      <c r="B3845" t="s">
        <v>105</v>
      </c>
      <c r="C3845" s="2">
        <f>HYPERLINK("https://sao.dolgi.msk.ru/account/1404205058/", 1404205058)</f>
        <v>1404205058</v>
      </c>
      <c r="D3845">
        <v>1889.8</v>
      </c>
    </row>
    <row r="3846" spans="1:4" x14ac:dyDescent="0.25">
      <c r="A3846" t="s">
        <v>655</v>
      </c>
      <c r="B3846" t="s">
        <v>106</v>
      </c>
      <c r="C3846" s="2">
        <f>HYPERLINK("https://sao.dolgi.msk.ru/account/1404204223/", 1404204223)</f>
        <v>1404204223</v>
      </c>
      <c r="D3846">
        <v>3530.93</v>
      </c>
    </row>
    <row r="3847" spans="1:4" x14ac:dyDescent="0.25">
      <c r="A3847" t="s">
        <v>655</v>
      </c>
      <c r="B3847" t="s">
        <v>107</v>
      </c>
      <c r="C3847" s="2">
        <f>HYPERLINK("https://sao.dolgi.msk.ru/account/1404204813/", 1404204813)</f>
        <v>1404204813</v>
      </c>
      <c r="D3847">
        <v>3991.27</v>
      </c>
    </row>
    <row r="3848" spans="1:4" hidden="1" x14ac:dyDescent="0.25">
      <c r="A3848" t="s">
        <v>655</v>
      </c>
      <c r="B3848" t="s">
        <v>108</v>
      </c>
      <c r="C3848" s="2">
        <f>HYPERLINK("https://sao.dolgi.msk.ru/account/1404204506/", 1404204506)</f>
        <v>1404204506</v>
      </c>
      <c r="D3848">
        <v>-2611.9699999999998</v>
      </c>
    </row>
    <row r="3849" spans="1:4" hidden="1" x14ac:dyDescent="0.25">
      <c r="A3849" t="s">
        <v>655</v>
      </c>
      <c r="B3849" t="s">
        <v>109</v>
      </c>
      <c r="C3849" s="2">
        <f>HYPERLINK("https://sao.dolgi.msk.ru/account/1404205066/", 1404205066)</f>
        <v>1404205066</v>
      </c>
      <c r="D3849">
        <v>0</v>
      </c>
    </row>
    <row r="3850" spans="1:4" hidden="1" x14ac:dyDescent="0.25">
      <c r="A3850" t="s">
        <v>655</v>
      </c>
      <c r="B3850" t="s">
        <v>110</v>
      </c>
      <c r="C3850" s="2">
        <f>HYPERLINK("https://sao.dolgi.msk.ru/account/1404204282/", 1404204282)</f>
        <v>1404204282</v>
      </c>
      <c r="D3850">
        <v>0</v>
      </c>
    </row>
    <row r="3851" spans="1:4" hidden="1" x14ac:dyDescent="0.25">
      <c r="A3851" t="s">
        <v>655</v>
      </c>
      <c r="B3851" t="s">
        <v>111</v>
      </c>
      <c r="C3851" s="2">
        <f>HYPERLINK("https://sao.dolgi.msk.ru/account/1404204522/", 1404204522)</f>
        <v>1404204522</v>
      </c>
      <c r="D3851">
        <v>0</v>
      </c>
    </row>
    <row r="3852" spans="1:4" hidden="1" x14ac:dyDescent="0.25">
      <c r="A3852" t="s">
        <v>655</v>
      </c>
      <c r="B3852" t="s">
        <v>112</v>
      </c>
      <c r="C3852" s="2">
        <f>HYPERLINK("https://sao.dolgi.msk.ru/account/1404204549/", 1404204549)</f>
        <v>1404204549</v>
      </c>
      <c r="D3852">
        <v>0</v>
      </c>
    </row>
    <row r="3853" spans="1:4" hidden="1" x14ac:dyDescent="0.25">
      <c r="A3853" t="s">
        <v>655</v>
      </c>
      <c r="B3853" t="s">
        <v>113</v>
      </c>
      <c r="C3853" s="2">
        <f>HYPERLINK("https://sao.dolgi.msk.ru/account/1404204303/", 1404204303)</f>
        <v>1404204303</v>
      </c>
      <c r="D3853">
        <v>-5615.57</v>
      </c>
    </row>
    <row r="3854" spans="1:4" x14ac:dyDescent="0.25">
      <c r="A3854" t="s">
        <v>655</v>
      </c>
      <c r="B3854" t="s">
        <v>114</v>
      </c>
      <c r="C3854" s="2">
        <f>HYPERLINK("https://sao.dolgi.msk.ru/account/1404205277/", 1404205277)</f>
        <v>1404205277</v>
      </c>
      <c r="D3854">
        <v>6140.78</v>
      </c>
    </row>
    <row r="3855" spans="1:4" hidden="1" x14ac:dyDescent="0.25">
      <c r="A3855" t="s">
        <v>655</v>
      </c>
      <c r="B3855" t="s">
        <v>115</v>
      </c>
      <c r="C3855" s="2">
        <f>HYPERLINK("https://sao.dolgi.msk.ru/account/1404204311/", 1404204311)</f>
        <v>1404204311</v>
      </c>
      <c r="D3855">
        <v>-3064.38</v>
      </c>
    </row>
    <row r="3856" spans="1:4" hidden="1" x14ac:dyDescent="0.25">
      <c r="A3856" t="s">
        <v>655</v>
      </c>
      <c r="B3856" t="s">
        <v>116</v>
      </c>
      <c r="C3856" s="2">
        <f>HYPERLINK("https://sao.dolgi.msk.ru/account/1404204127/", 1404204127)</f>
        <v>1404204127</v>
      </c>
      <c r="D3856">
        <v>0</v>
      </c>
    </row>
    <row r="3857" spans="1:4" hidden="1" x14ac:dyDescent="0.25">
      <c r="A3857" t="s">
        <v>656</v>
      </c>
      <c r="B3857" t="s">
        <v>12</v>
      </c>
      <c r="C3857" s="2">
        <f>HYPERLINK("https://sao.dolgi.msk.ru/account/1404108098/", 1404108098)</f>
        <v>1404108098</v>
      </c>
      <c r="D3857">
        <v>-2399.89</v>
      </c>
    </row>
    <row r="3858" spans="1:4" hidden="1" x14ac:dyDescent="0.25">
      <c r="A3858" t="s">
        <v>656</v>
      </c>
      <c r="B3858" t="s">
        <v>13</v>
      </c>
      <c r="C3858" s="2">
        <f>HYPERLINK("https://sao.dolgi.msk.ru/account/1404108434/", 1404108434)</f>
        <v>1404108434</v>
      </c>
      <c r="D3858">
        <v>-6852.92</v>
      </c>
    </row>
    <row r="3859" spans="1:4" hidden="1" x14ac:dyDescent="0.25">
      <c r="A3859" t="s">
        <v>656</v>
      </c>
      <c r="B3859" t="s">
        <v>14</v>
      </c>
      <c r="C3859" s="2">
        <f>HYPERLINK("https://sao.dolgi.msk.ru/account/1404107706/", 1404107706)</f>
        <v>1404107706</v>
      </c>
      <c r="D3859">
        <v>-6276.28</v>
      </c>
    </row>
    <row r="3860" spans="1:4" hidden="1" x14ac:dyDescent="0.25">
      <c r="A3860" t="s">
        <v>656</v>
      </c>
      <c r="B3860" t="s">
        <v>15</v>
      </c>
      <c r="C3860" s="2">
        <f>HYPERLINK("https://sao.dolgi.msk.ru/account/1404108733/", 1404108733)</f>
        <v>1404108733</v>
      </c>
      <c r="D3860">
        <v>-5342.09</v>
      </c>
    </row>
    <row r="3861" spans="1:4" hidden="1" x14ac:dyDescent="0.25">
      <c r="A3861" t="s">
        <v>656</v>
      </c>
      <c r="B3861" t="s">
        <v>16</v>
      </c>
      <c r="C3861" s="2">
        <f>HYPERLINK("https://sao.dolgi.msk.ru/account/1404107714/", 1404107714)</f>
        <v>1404107714</v>
      </c>
      <c r="D3861">
        <v>-4998.63</v>
      </c>
    </row>
    <row r="3862" spans="1:4" hidden="1" x14ac:dyDescent="0.25">
      <c r="A3862" t="s">
        <v>656</v>
      </c>
      <c r="B3862" t="s">
        <v>17</v>
      </c>
      <c r="C3862" s="2">
        <f>HYPERLINK("https://sao.dolgi.msk.ru/account/1404107888/", 1404107888)</f>
        <v>1404107888</v>
      </c>
      <c r="D3862">
        <v>-129.9</v>
      </c>
    </row>
    <row r="3863" spans="1:4" hidden="1" x14ac:dyDescent="0.25">
      <c r="A3863" t="s">
        <v>656</v>
      </c>
      <c r="B3863" t="s">
        <v>18</v>
      </c>
      <c r="C3863" s="2">
        <f>HYPERLINK("https://sao.dolgi.msk.ru/account/1404108135/", 1404108135)</f>
        <v>1404108135</v>
      </c>
      <c r="D3863">
        <v>-3740.12</v>
      </c>
    </row>
    <row r="3864" spans="1:4" x14ac:dyDescent="0.25">
      <c r="A3864" t="s">
        <v>656</v>
      </c>
      <c r="B3864" t="s">
        <v>19</v>
      </c>
      <c r="C3864" s="2">
        <f>HYPERLINK("https://sao.dolgi.msk.ru/account/1404108477/", 1404108477)</f>
        <v>1404108477</v>
      </c>
      <c r="D3864">
        <v>9148.8799999999992</v>
      </c>
    </row>
    <row r="3865" spans="1:4" hidden="1" x14ac:dyDescent="0.25">
      <c r="A3865" t="s">
        <v>656</v>
      </c>
      <c r="B3865" t="s">
        <v>20</v>
      </c>
      <c r="C3865" s="2">
        <f>HYPERLINK("https://sao.dolgi.msk.ru/account/1404107896/", 1404107896)</f>
        <v>1404107896</v>
      </c>
      <c r="D3865">
        <v>0</v>
      </c>
    </row>
    <row r="3866" spans="1:4" hidden="1" x14ac:dyDescent="0.25">
      <c r="A3866" t="s">
        <v>656</v>
      </c>
      <c r="B3866" t="s">
        <v>21</v>
      </c>
      <c r="C3866" s="2">
        <f>HYPERLINK("https://sao.dolgi.msk.ru/account/1404108311/", 1404108311)</f>
        <v>1404108311</v>
      </c>
      <c r="D3866">
        <v>-5867.02</v>
      </c>
    </row>
    <row r="3867" spans="1:4" hidden="1" x14ac:dyDescent="0.25">
      <c r="A3867" t="s">
        <v>656</v>
      </c>
      <c r="B3867" t="s">
        <v>22</v>
      </c>
      <c r="C3867" s="2">
        <f>HYPERLINK("https://sao.dolgi.msk.ru/account/1404108485/", 1404108485)</f>
        <v>1404108485</v>
      </c>
      <c r="D3867">
        <v>-3510.43</v>
      </c>
    </row>
    <row r="3868" spans="1:4" hidden="1" x14ac:dyDescent="0.25">
      <c r="A3868" t="s">
        <v>656</v>
      </c>
      <c r="B3868" t="s">
        <v>23</v>
      </c>
      <c r="C3868" s="2">
        <f>HYPERLINK("https://sao.dolgi.msk.ru/account/1404107909/", 1404107909)</f>
        <v>1404107909</v>
      </c>
      <c r="D3868">
        <v>-5740.86</v>
      </c>
    </row>
    <row r="3869" spans="1:4" hidden="1" x14ac:dyDescent="0.25">
      <c r="A3869" t="s">
        <v>656</v>
      </c>
      <c r="B3869" t="s">
        <v>24</v>
      </c>
      <c r="C3869" s="2">
        <f>HYPERLINK("https://sao.dolgi.msk.ru/account/1404107992/", 1404107992)</f>
        <v>1404107992</v>
      </c>
      <c r="D3869">
        <v>-5131.3900000000003</v>
      </c>
    </row>
    <row r="3870" spans="1:4" hidden="1" x14ac:dyDescent="0.25">
      <c r="A3870" t="s">
        <v>656</v>
      </c>
      <c r="B3870" t="s">
        <v>25</v>
      </c>
      <c r="C3870" s="2">
        <f>HYPERLINK("https://sao.dolgi.msk.ru/account/1404108004/", 1404108004)</f>
        <v>1404108004</v>
      </c>
      <c r="D3870">
        <v>-676.48</v>
      </c>
    </row>
    <row r="3871" spans="1:4" hidden="1" x14ac:dyDescent="0.25">
      <c r="A3871" t="s">
        <v>656</v>
      </c>
      <c r="B3871" t="s">
        <v>26</v>
      </c>
      <c r="C3871" s="2">
        <f>HYPERLINK("https://sao.dolgi.msk.ru/account/1404107722/", 1404107722)</f>
        <v>1404107722</v>
      </c>
      <c r="D3871">
        <v>0</v>
      </c>
    </row>
    <row r="3872" spans="1:4" hidden="1" x14ac:dyDescent="0.25">
      <c r="A3872" t="s">
        <v>656</v>
      </c>
      <c r="B3872" t="s">
        <v>27</v>
      </c>
      <c r="C3872" s="2">
        <f>HYPERLINK("https://sao.dolgi.msk.ru/account/1404108493/", 1404108493)</f>
        <v>1404108493</v>
      </c>
      <c r="D3872">
        <v>-6933.94</v>
      </c>
    </row>
    <row r="3873" spans="1:4" hidden="1" x14ac:dyDescent="0.25">
      <c r="A3873" t="s">
        <v>656</v>
      </c>
      <c r="B3873" t="s">
        <v>28</v>
      </c>
      <c r="C3873" s="2">
        <f>HYPERLINK("https://sao.dolgi.msk.ru/account/1404108741/", 1404108741)</f>
        <v>1404108741</v>
      </c>
      <c r="D3873">
        <v>-546.9</v>
      </c>
    </row>
    <row r="3874" spans="1:4" hidden="1" x14ac:dyDescent="0.25">
      <c r="A3874" t="s">
        <v>656</v>
      </c>
      <c r="B3874" t="s">
        <v>29</v>
      </c>
      <c r="C3874" s="2">
        <f>HYPERLINK("https://sao.dolgi.msk.ru/account/1404107749/", 1404107749)</f>
        <v>1404107749</v>
      </c>
      <c r="D3874">
        <v>-4978.2299999999996</v>
      </c>
    </row>
    <row r="3875" spans="1:4" hidden="1" x14ac:dyDescent="0.25">
      <c r="A3875" t="s">
        <v>656</v>
      </c>
      <c r="B3875" t="s">
        <v>30</v>
      </c>
      <c r="C3875" s="2">
        <f>HYPERLINK("https://sao.dolgi.msk.ru/account/1404108338/", 1404108338)</f>
        <v>1404108338</v>
      </c>
      <c r="D3875">
        <v>-2537.21</v>
      </c>
    </row>
    <row r="3876" spans="1:4" hidden="1" x14ac:dyDescent="0.25">
      <c r="A3876" t="s">
        <v>656</v>
      </c>
      <c r="B3876" t="s">
        <v>31</v>
      </c>
      <c r="C3876" s="2">
        <f>HYPERLINK("https://sao.dolgi.msk.ru/account/1404107757/", 1404107757)</f>
        <v>1404107757</v>
      </c>
      <c r="D3876">
        <v>-1921.4</v>
      </c>
    </row>
    <row r="3877" spans="1:4" hidden="1" x14ac:dyDescent="0.25">
      <c r="A3877" t="s">
        <v>656</v>
      </c>
      <c r="B3877" t="s">
        <v>32</v>
      </c>
      <c r="C3877" s="2">
        <f>HYPERLINK("https://sao.dolgi.msk.ru/account/1404108602/", 1404108602)</f>
        <v>1404108602</v>
      </c>
      <c r="D3877">
        <v>0</v>
      </c>
    </row>
    <row r="3878" spans="1:4" hidden="1" x14ac:dyDescent="0.25">
      <c r="A3878" t="s">
        <v>656</v>
      </c>
      <c r="B3878" t="s">
        <v>33</v>
      </c>
      <c r="C3878" s="2">
        <f>HYPERLINK("https://sao.dolgi.msk.ru/account/1404108768/", 1404108768)</f>
        <v>1404108768</v>
      </c>
      <c r="D3878">
        <v>-4419.08</v>
      </c>
    </row>
    <row r="3879" spans="1:4" hidden="1" x14ac:dyDescent="0.25">
      <c r="A3879" t="s">
        <v>656</v>
      </c>
      <c r="B3879" t="s">
        <v>34</v>
      </c>
      <c r="C3879" s="2">
        <f>HYPERLINK("https://sao.dolgi.msk.ru/account/1404108629/", 1404108629)</f>
        <v>1404108629</v>
      </c>
      <c r="D3879">
        <v>-102.56</v>
      </c>
    </row>
    <row r="3880" spans="1:4" x14ac:dyDescent="0.25">
      <c r="A3880" t="s">
        <v>656</v>
      </c>
      <c r="B3880" t="s">
        <v>35</v>
      </c>
      <c r="C3880" s="2">
        <f>HYPERLINK("https://sao.dolgi.msk.ru/account/1404107917/", 1404107917)</f>
        <v>1404107917</v>
      </c>
      <c r="D3880">
        <v>95968.91</v>
      </c>
    </row>
    <row r="3881" spans="1:4" hidden="1" x14ac:dyDescent="0.25">
      <c r="A3881" t="s">
        <v>656</v>
      </c>
      <c r="B3881" t="s">
        <v>36</v>
      </c>
      <c r="C3881" s="2">
        <f>HYPERLINK("https://sao.dolgi.msk.ru/account/1404108637/", 1404108637)</f>
        <v>1404108637</v>
      </c>
      <c r="D3881">
        <v>-597.05999999999995</v>
      </c>
    </row>
    <row r="3882" spans="1:4" hidden="1" x14ac:dyDescent="0.25">
      <c r="A3882" t="s">
        <v>656</v>
      </c>
      <c r="B3882" t="s">
        <v>37</v>
      </c>
      <c r="C3882" s="2">
        <f>HYPERLINK("https://sao.dolgi.msk.ru/account/1404108776/", 1404108776)</f>
        <v>1404108776</v>
      </c>
      <c r="D3882">
        <v>-996.33</v>
      </c>
    </row>
    <row r="3883" spans="1:4" hidden="1" x14ac:dyDescent="0.25">
      <c r="A3883" t="s">
        <v>656</v>
      </c>
      <c r="B3883" t="s">
        <v>38</v>
      </c>
      <c r="C3883" s="2">
        <f>HYPERLINK("https://sao.dolgi.msk.ru/account/1404108645/", 1404108645)</f>
        <v>1404108645</v>
      </c>
      <c r="D3883">
        <v>-5670.2</v>
      </c>
    </row>
    <row r="3884" spans="1:4" hidden="1" x14ac:dyDescent="0.25">
      <c r="A3884" t="s">
        <v>656</v>
      </c>
      <c r="B3884" t="s">
        <v>39</v>
      </c>
      <c r="C3884" s="2">
        <f>HYPERLINK("https://sao.dolgi.msk.ru/account/1404108012/", 1404108012)</f>
        <v>1404108012</v>
      </c>
      <c r="D3884">
        <v>-3926.04</v>
      </c>
    </row>
    <row r="3885" spans="1:4" hidden="1" x14ac:dyDescent="0.25">
      <c r="A3885" t="s">
        <v>656</v>
      </c>
      <c r="B3885" t="s">
        <v>40</v>
      </c>
      <c r="C3885" s="2">
        <f>HYPERLINK("https://sao.dolgi.msk.ru/account/1404108506/", 1404108506)</f>
        <v>1404108506</v>
      </c>
      <c r="D3885">
        <v>0</v>
      </c>
    </row>
    <row r="3886" spans="1:4" hidden="1" x14ac:dyDescent="0.25">
      <c r="A3886" t="s">
        <v>656</v>
      </c>
      <c r="B3886" t="s">
        <v>41</v>
      </c>
      <c r="C3886" s="2">
        <f>HYPERLINK("https://sao.dolgi.msk.ru/account/1404108143/", 1404108143)</f>
        <v>1404108143</v>
      </c>
      <c r="D3886">
        <v>-4438.28</v>
      </c>
    </row>
    <row r="3887" spans="1:4" hidden="1" x14ac:dyDescent="0.25">
      <c r="A3887" t="s">
        <v>656</v>
      </c>
      <c r="B3887" t="s">
        <v>42</v>
      </c>
      <c r="C3887" s="2">
        <f>HYPERLINK("https://sao.dolgi.msk.ru/account/1404108346/", 1404108346)</f>
        <v>1404108346</v>
      </c>
      <c r="D3887">
        <v>-7099.43</v>
      </c>
    </row>
    <row r="3888" spans="1:4" hidden="1" x14ac:dyDescent="0.25">
      <c r="A3888" t="s">
        <v>656</v>
      </c>
      <c r="B3888" t="s">
        <v>43</v>
      </c>
      <c r="C3888" s="2">
        <f>HYPERLINK("https://sao.dolgi.msk.ru/account/1404108514/", 1404108514)</f>
        <v>1404108514</v>
      </c>
      <c r="D3888">
        <v>-4795.2299999999996</v>
      </c>
    </row>
    <row r="3889" spans="1:4" hidden="1" x14ac:dyDescent="0.25">
      <c r="A3889" t="s">
        <v>656</v>
      </c>
      <c r="B3889" t="s">
        <v>44</v>
      </c>
      <c r="C3889" s="2">
        <f>HYPERLINK("https://sao.dolgi.msk.ru/account/1404107925/", 1404107925)</f>
        <v>1404107925</v>
      </c>
      <c r="D3889">
        <v>-5231.42</v>
      </c>
    </row>
    <row r="3890" spans="1:4" x14ac:dyDescent="0.25">
      <c r="A3890" t="s">
        <v>656</v>
      </c>
      <c r="B3890" t="s">
        <v>45</v>
      </c>
      <c r="C3890" s="2">
        <f>HYPERLINK("https://sao.dolgi.msk.ru/account/1404108354/", 1404108354)</f>
        <v>1404108354</v>
      </c>
      <c r="D3890">
        <v>2013.1</v>
      </c>
    </row>
    <row r="3891" spans="1:4" hidden="1" x14ac:dyDescent="0.25">
      <c r="A3891" t="s">
        <v>656</v>
      </c>
      <c r="B3891" t="s">
        <v>45</v>
      </c>
      <c r="C3891" s="2">
        <f>HYPERLINK("https://sao.dolgi.msk.ru/account/1404108725/", 1404108725)</f>
        <v>1404108725</v>
      </c>
      <c r="D3891">
        <v>0</v>
      </c>
    </row>
    <row r="3892" spans="1:4" x14ac:dyDescent="0.25">
      <c r="A3892" t="s">
        <v>656</v>
      </c>
      <c r="B3892" t="s">
        <v>46</v>
      </c>
      <c r="C3892" s="2">
        <f>HYPERLINK("https://sao.dolgi.msk.ru/account/1404108784/", 1404108784)</f>
        <v>1404108784</v>
      </c>
      <c r="D3892">
        <v>4144.63</v>
      </c>
    </row>
    <row r="3893" spans="1:4" hidden="1" x14ac:dyDescent="0.25">
      <c r="A3893" t="s">
        <v>656</v>
      </c>
      <c r="B3893" t="s">
        <v>47</v>
      </c>
      <c r="C3893" s="2">
        <f>HYPERLINK("https://sao.dolgi.msk.ru/account/1404108151/", 1404108151)</f>
        <v>1404108151</v>
      </c>
      <c r="D3893">
        <v>-7087.17</v>
      </c>
    </row>
    <row r="3894" spans="1:4" hidden="1" x14ac:dyDescent="0.25">
      <c r="A3894" t="s">
        <v>656</v>
      </c>
      <c r="B3894" t="s">
        <v>48</v>
      </c>
      <c r="C3894" s="2">
        <f>HYPERLINK("https://sao.dolgi.msk.ru/account/1404107765/", 1404107765)</f>
        <v>1404107765</v>
      </c>
      <c r="D3894">
        <v>-5096.16</v>
      </c>
    </row>
    <row r="3895" spans="1:4" hidden="1" x14ac:dyDescent="0.25">
      <c r="A3895" t="s">
        <v>656</v>
      </c>
      <c r="B3895" t="s">
        <v>49</v>
      </c>
      <c r="C3895" s="2">
        <f>HYPERLINK("https://sao.dolgi.msk.ru/account/1404108522/", 1404108522)</f>
        <v>1404108522</v>
      </c>
      <c r="D3895">
        <v>-4977.9399999999996</v>
      </c>
    </row>
    <row r="3896" spans="1:4" hidden="1" x14ac:dyDescent="0.25">
      <c r="A3896" t="s">
        <v>656</v>
      </c>
      <c r="B3896" t="s">
        <v>50</v>
      </c>
      <c r="C3896" s="2">
        <f>HYPERLINK("https://sao.dolgi.msk.ru/account/1404108362/", 1404108362)</f>
        <v>1404108362</v>
      </c>
      <c r="D3896">
        <v>-3283.03</v>
      </c>
    </row>
    <row r="3897" spans="1:4" hidden="1" x14ac:dyDescent="0.25">
      <c r="A3897" t="s">
        <v>656</v>
      </c>
      <c r="B3897" t="s">
        <v>51</v>
      </c>
      <c r="C3897" s="2">
        <f>HYPERLINK("https://sao.dolgi.msk.ru/account/1404107933/", 1404107933)</f>
        <v>1404107933</v>
      </c>
      <c r="D3897">
        <v>-6375.49</v>
      </c>
    </row>
    <row r="3898" spans="1:4" hidden="1" x14ac:dyDescent="0.25">
      <c r="A3898" t="s">
        <v>656</v>
      </c>
      <c r="B3898" t="s">
        <v>52</v>
      </c>
      <c r="C3898" s="2">
        <f>HYPERLINK("https://sao.dolgi.msk.ru/account/1404107773/", 1404107773)</f>
        <v>1404107773</v>
      </c>
      <c r="D3898">
        <v>0</v>
      </c>
    </row>
    <row r="3899" spans="1:4" hidden="1" x14ac:dyDescent="0.25">
      <c r="A3899" t="s">
        <v>656</v>
      </c>
      <c r="B3899" t="s">
        <v>53</v>
      </c>
      <c r="C3899" s="2">
        <f>HYPERLINK("https://sao.dolgi.msk.ru/account/1404108039/", 1404108039)</f>
        <v>1404108039</v>
      </c>
      <c r="D3899">
        <v>-505.48</v>
      </c>
    </row>
    <row r="3900" spans="1:4" hidden="1" x14ac:dyDescent="0.25">
      <c r="A3900" t="s">
        <v>656</v>
      </c>
      <c r="B3900" t="s">
        <v>54</v>
      </c>
      <c r="C3900" s="2">
        <f>HYPERLINK("https://sao.dolgi.msk.ru/account/1404108178/", 1404108178)</f>
        <v>1404108178</v>
      </c>
      <c r="D3900">
        <v>-3478.23</v>
      </c>
    </row>
    <row r="3901" spans="1:4" hidden="1" x14ac:dyDescent="0.25">
      <c r="A3901" t="s">
        <v>656</v>
      </c>
      <c r="B3901" t="s">
        <v>55</v>
      </c>
      <c r="C3901" s="2">
        <f>HYPERLINK("https://sao.dolgi.msk.ru/account/1404108653/", 1404108653)</f>
        <v>1404108653</v>
      </c>
      <c r="D3901">
        <v>0</v>
      </c>
    </row>
    <row r="3902" spans="1:4" hidden="1" x14ac:dyDescent="0.25">
      <c r="A3902" t="s">
        <v>656</v>
      </c>
      <c r="B3902" t="s">
        <v>56</v>
      </c>
      <c r="C3902" s="2">
        <f>HYPERLINK("https://sao.dolgi.msk.ru/account/1404108186/", 1404108186)</f>
        <v>1404108186</v>
      </c>
      <c r="D3902">
        <v>-7592.5</v>
      </c>
    </row>
    <row r="3903" spans="1:4" x14ac:dyDescent="0.25">
      <c r="A3903" t="s">
        <v>656</v>
      </c>
      <c r="B3903" t="s">
        <v>57</v>
      </c>
      <c r="C3903" s="2">
        <f>HYPERLINK("https://sao.dolgi.msk.ru/account/1404108389/", 1404108389)</f>
        <v>1404108389</v>
      </c>
      <c r="D3903">
        <v>3190.71</v>
      </c>
    </row>
    <row r="3904" spans="1:4" x14ac:dyDescent="0.25">
      <c r="A3904" t="s">
        <v>656</v>
      </c>
      <c r="B3904" t="s">
        <v>58</v>
      </c>
      <c r="C3904" s="2">
        <f>HYPERLINK("https://sao.dolgi.msk.ru/account/1404108194/", 1404108194)</f>
        <v>1404108194</v>
      </c>
      <c r="D3904">
        <v>5212.68</v>
      </c>
    </row>
    <row r="3905" spans="1:4" hidden="1" x14ac:dyDescent="0.25">
      <c r="A3905" t="s">
        <v>656</v>
      </c>
      <c r="B3905" t="s">
        <v>59</v>
      </c>
      <c r="C3905" s="2">
        <f>HYPERLINK("https://sao.dolgi.msk.ru/account/1404108207/", 1404108207)</f>
        <v>1404108207</v>
      </c>
      <c r="D3905">
        <v>-1018.54</v>
      </c>
    </row>
    <row r="3906" spans="1:4" hidden="1" x14ac:dyDescent="0.25">
      <c r="A3906" t="s">
        <v>656</v>
      </c>
      <c r="B3906" t="s">
        <v>60</v>
      </c>
      <c r="C3906" s="2">
        <f>HYPERLINK("https://sao.dolgi.msk.ru/account/1404108215/", 1404108215)</f>
        <v>1404108215</v>
      </c>
      <c r="D3906">
        <v>-205.78</v>
      </c>
    </row>
    <row r="3907" spans="1:4" hidden="1" x14ac:dyDescent="0.25">
      <c r="A3907" t="s">
        <v>656</v>
      </c>
      <c r="B3907" t="s">
        <v>61</v>
      </c>
      <c r="C3907" s="2">
        <f>HYPERLINK("https://sao.dolgi.msk.ru/account/1404108223/", 1404108223)</f>
        <v>1404108223</v>
      </c>
      <c r="D3907">
        <v>-2272.41</v>
      </c>
    </row>
    <row r="3908" spans="1:4" hidden="1" x14ac:dyDescent="0.25">
      <c r="A3908" t="s">
        <v>656</v>
      </c>
      <c r="B3908" t="s">
        <v>62</v>
      </c>
      <c r="C3908" s="2">
        <f>HYPERLINK("https://sao.dolgi.msk.ru/account/1404108231/", 1404108231)</f>
        <v>1404108231</v>
      </c>
      <c r="D3908">
        <v>-5354.26</v>
      </c>
    </row>
    <row r="3909" spans="1:4" hidden="1" x14ac:dyDescent="0.25">
      <c r="A3909" t="s">
        <v>656</v>
      </c>
      <c r="B3909" t="s">
        <v>63</v>
      </c>
      <c r="C3909" s="2">
        <f>HYPERLINK("https://sao.dolgi.msk.ru/account/1404108258/", 1404108258)</f>
        <v>1404108258</v>
      </c>
      <c r="D3909">
        <v>-3632.33</v>
      </c>
    </row>
    <row r="3910" spans="1:4" hidden="1" x14ac:dyDescent="0.25">
      <c r="A3910" t="s">
        <v>656</v>
      </c>
      <c r="B3910" t="s">
        <v>64</v>
      </c>
      <c r="C3910" s="2">
        <f>HYPERLINK("https://sao.dolgi.msk.ru/account/1404108792/", 1404108792)</f>
        <v>1404108792</v>
      </c>
      <c r="D3910">
        <v>-5315.18</v>
      </c>
    </row>
    <row r="3911" spans="1:4" hidden="1" x14ac:dyDescent="0.25">
      <c r="A3911" t="s">
        <v>656</v>
      </c>
      <c r="B3911" t="s">
        <v>65</v>
      </c>
      <c r="C3911" s="2">
        <f>HYPERLINK("https://sao.dolgi.msk.ru/account/1404108127/", 1404108127)</f>
        <v>1404108127</v>
      </c>
      <c r="D3911">
        <v>0</v>
      </c>
    </row>
    <row r="3912" spans="1:4" hidden="1" x14ac:dyDescent="0.25">
      <c r="A3912" t="s">
        <v>656</v>
      </c>
      <c r="B3912" t="s">
        <v>65</v>
      </c>
      <c r="C3912" s="2">
        <f>HYPERLINK("https://sao.dolgi.msk.ru/account/1404108397/", 1404108397)</f>
        <v>1404108397</v>
      </c>
      <c r="D3912">
        <v>-1374.17</v>
      </c>
    </row>
    <row r="3913" spans="1:4" hidden="1" x14ac:dyDescent="0.25">
      <c r="A3913" t="s">
        <v>656</v>
      </c>
      <c r="B3913" t="s">
        <v>66</v>
      </c>
      <c r="C3913" s="2">
        <f>HYPERLINK("https://sao.dolgi.msk.ru/account/1404107781/", 1404107781)</f>
        <v>1404107781</v>
      </c>
      <c r="D3913">
        <v>-660.45</v>
      </c>
    </row>
    <row r="3914" spans="1:4" hidden="1" x14ac:dyDescent="0.25">
      <c r="A3914" t="s">
        <v>656</v>
      </c>
      <c r="B3914" t="s">
        <v>67</v>
      </c>
      <c r="C3914" s="2">
        <f>HYPERLINK("https://sao.dolgi.msk.ru/account/1404107802/", 1404107802)</f>
        <v>1404107802</v>
      </c>
      <c r="D3914">
        <v>-4676.3500000000004</v>
      </c>
    </row>
    <row r="3915" spans="1:4" hidden="1" x14ac:dyDescent="0.25">
      <c r="A3915" t="s">
        <v>656</v>
      </c>
      <c r="B3915" t="s">
        <v>68</v>
      </c>
      <c r="C3915" s="2">
        <f>HYPERLINK("https://sao.dolgi.msk.ru/account/1404108047/", 1404108047)</f>
        <v>1404108047</v>
      </c>
      <c r="D3915">
        <v>-813.4</v>
      </c>
    </row>
    <row r="3916" spans="1:4" hidden="1" x14ac:dyDescent="0.25">
      <c r="A3916" t="s">
        <v>656</v>
      </c>
      <c r="B3916" t="s">
        <v>69</v>
      </c>
      <c r="C3916" s="2">
        <f>HYPERLINK("https://sao.dolgi.msk.ru/account/1404108266/", 1404108266)</f>
        <v>1404108266</v>
      </c>
      <c r="D3916">
        <v>-3953.23</v>
      </c>
    </row>
    <row r="3917" spans="1:4" hidden="1" x14ac:dyDescent="0.25">
      <c r="A3917" t="s">
        <v>656</v>
      </c>
      <c r="B3917" t="s">
        <v>70</v>
      </c>
      <c r="C3917" s="2">
        <f>HYPERLINK("https://sao.dolgi.msk.ru/account/1404108418/", 1404108418)</f>
        <v>1404108418</v>
      </c>
      <c r="D3917">
        <v>0</v>
      </c>
    </row>
    <row r="3918" spans="1:4" hidden="1" x14ac:dyDescent="0.25">
      <c r="A3918" t="s">
        <v>656</v>
      </c>
      <c r="B3918" t="s">
        <v>71</v>
      </c>
      <c r="C3918" s="2">
        <f>HYPERLINK("https://sao.dolgi.msk.ru/account/1404108805/", 1404108805)</f>
        <v>1404108805</v>
      </c>
      <c r="D3918">
        <v>-5948</v>
      </c>
    </row>
    <row r="3919" spans="1:4" hidden="1" x14ac:dyDescent="0.25">
      <c r="A3919" t="s">
        <v>656</v>
      </c>
      <c r="B3919" t="s">
        <v>72</v>
      </c>
      <c r="C3919" s="2">
        <f>HYPERLINK("https://sao.dolgi.msk.ru/account/1404108055/", 1404108055)</f>
        <v>1404108055</v>
      </c>
      <c r="D3919">
        <v>-5117.8599999999997</v>
      </c>
    </row>
    <row r="3920" spans="1:4" hidden="1" x14ac:dyDescent="0.25">
      <c r="A3920" t="s">
        <v>656</v>
      </c>
      <c r="B3920" t="s">
        <v>73</v>
      </c>
      <c r="C3920" s="2">
        <f>HYPERLINK("https://sao.dolgi.msk.ru/account/1404108661/", 1404108661)</f>
        <v>1404108661</v>
      </c>
      <c r="D3920">
        <v>-7411.3</v>
      </c>
    </row>
    <row r="3921" spans="1:4" hidden="1" x14ac:dyDescent="0.25">
      <c r="A3921" t="s">
        <v>656</v>
      </c>
      <c r="B3921" t="s">
        <v>74</v>
      </c>
      <c r="C3921" s="2">
        <f>HYPERLINK("https://sao.dolgi.msk.ru/account/1404108813/", 1404108813)</f>
        <v>1404108813</v>
      </c>
      <c r="D3921">
        <v>-5460.45</v>
      </c>
    </row>
    <row r="3922" spans="1:4" hidden="1" x14ac:dyDescent="0.25">
      <c r="A3922" t="s">
        <v>656</v>
      </c>
      <c r="B3922" t="s">
        <v>75</v>
      </c>
      <c r="C3922" s="2">
        <f>HYPERLINK("https://sao.dolgi.msk.ru/account/1404108063/", 1404108063)</f>
        <v>1404108063</v>
      </c>
      <c r="D3922">
        <v>-6024.5</v>
      </c>
    </row>
    <row r="3923" spans="1:4" hidden="1" x14ac:dyDescent="0.25">
      <c r="A3923" t="s">
        <v>656</v>
      </c>
      <c r="B3923" t="s">
        <v>76</v>
      </c>
      <c r="C3923" s="2">
        <f>HYPERLINK("https://sao.dolgi.msk.ru/account/1404108274/", 1404108274)</f>
        <v>1404108274</v>
      </c>
      <c r="D3923">
        <v>-650.64</v>
      </c>
    </row>
    <row r="3924" spans="1:4" hidden="1" x14ac:dyDescent="0.25">
      <c r="A3924" t="s">
        <v>656</v>
      </c>
      <c r="B3924" t="s">
        <v>77</v>
      </c>
      <c r="C3924" s="2">
        <f>HYPERLINK("https://sao.dolgi.msk.ru/account/1404108688/", 1404108688)</f>
        <v>1404108688</v>
      </c>
      <c r="D3924">
        <v>-5649.64</v>
      </c>
    </row>
    <row r="3925" spans="1:4" hidden="1" x14ac:dyDescent="0.25">
      <c r="A3925" t="s">
        <v>656</v>
      </c>
      <c r="B3925" t="s">
        <v>78</v>
      </c>
      <c r="C3925" s="2">
        <f>HYPERLINK("https://sao.dolgi.msk.ru/account/1404108696/", 1404108696)</f>
        <v>1404108696</v>
      </c>
      <c r="D3925">
        <v>-3039.26</v>
      </c>
    </row>
    <row r="3926" spans="1:4" hidden="1" x14ac:dyDescent="0.25">
      <c r="A3926" t="s">
        <v>656</v>
      </c>
      <c r="B3926" t="s">
        <v>79</v>
      </c>
      <c r="C3926" s="2">
        <f>HYPERLINK("https://sao.dolgi.msk.ru/account/1404108071/", 1404108071)</f>
        <v>1404108071</v>
      </c>
      <c r="D3926">
        <v>0</v>
      </c>
    </row>
    <row r="3927" spans="1:4" hidden="1" x14ac:dyDescent="0.25">
      <c r="A3927" t="s">
        <v>656</v>
      </c>
      <c r="B3927" t="s">
        <v>80</v>
      </c>
      <c r="C3927" s="2">
        <f>HYPERLINK("https://sao.dolgi.msk.ru/account/1404108549/", 1404108549)</f>
        <v>1404108549</v>
      </c>
      <c r="D3927">
        <v>0</v>
      </c>
    </row>
    <row r="3928" spans="1:4" hidden="1" x14ac:dyDescent="0.25">
      <c r="A3928" t="s">
        <v>656</v>
      </c>
      <c r="B3928" t="s">
        <v>81</v>
      </c>
      <c r="C3928" s="2">
        <f>HYPERLINK("https://sao.dolgi.msk.ru/account/1404108709/", 1404108709)</f>
        <v>1404108709</v>
      </c>
      <c r="D3928">
        <v>-2311.11</v>
      </c>
    </row>
    <row r="3929" spans="1:4" x14ac:dyDescent="0.25">
      <c r="A3929" t="s">
        <v>656</v>
      </c>
      <c r="B3929" t="s">
        <v>82</v>
      </c>
      <c r="C3929" s="2">
        <f>HYPERLINK("https://sao.dolgi.msk.ru/account/1404107941/", 1404107941)</f>
        <v>1404107941</v>
      </c>
      <c r="D3929">
        <v>11053.94</v>
      </c>
    </row>
    <row r="3930" spans="1:4" hidden="1" x14ac:dyDescent="0.25">
      <c r="A3930" t="s">
        <v>656</v>
      </c>
      <c r="B3930" t="s">
        <v>83</v>
      </c>
      <c r="C3930" s="2">
        <f>HYPERLINK("https://sao.dolgi.msk.ru/account/1404107829/", 1404107829)</f>
        <v>1404107829</v>
      </c>
      <c r="D3930">
        <v>-11854.11</v>
      </c>
    </row>
    <row r="3931" spans="1:4" hidden="1" x14ac:dyDescent="0.25">
      <c r="A3931" t="s">
        <v>656</v>
      </c>
      <c r="B3931" t="s">
        <v>84</v>
      </c>
      <c r="C3931" s="2">
        <f>HYPERLINK("https://sao.dolgi.msk.ru/account/1404107984/", 1404107984)</f>
        <v>1404107984</v>
      </c>
      <c r="D3931">
        <v>-3846.3</v>
      </c>
    </row>
    <row r="3932" spans="1:4" hidden="1" x14ac:dyDescent="0.25">
      <c r="A3932" t="s">
        <v>656</v>
      </c>
      <c r="B3932" t="s">
        <v>84</v>
      </c>
      <c r="C3932" s="2">
        <f>HYPERLINK("https://sao.dolgi.msk.ru/account/1404108821/", 1404108821)</f>
        <v>1404108821</v>
      </c>
      <c r="D3932">
        <v>-1838.2</v>
      </c>
    </row>
    <row r="3933" spans="1:4" hidden="1" x14ac:dyDescent="0.25">
      <c r="A3933" t="s">
        <v>656</v>
      </c>
      <c r="B3933" t="s">
        <v>85</v>
      </c>
      <c r="C3933" s="2">
        <f>HYPERLINK("https://sao.dolgi.msk.ru/account/1404107837/", 1404107837)</f>
        <v>1404107837</v>
      </c>
      <c r="D3933">
        <v>-1557.5</v>
      </c>
    </row>
    <row r="3934" spans="1:4" hidden="1" x14ac:dyDescent="0.25">
      <c r="A3934" t="s">
        <v>656</v>
      </c>
      <c r="B3934" t="s">
        <v>86</v>
      </c>
      <c r="C3934" s="2">
        <f>HYPERLINK("https://sao.dolgi.msk.ru/account/1404108557/", 1404108557)</f>
        <v>1404108557</v>
      </c>
      <c r="D3934">
        <v>-4786.1400000000003</v>
      </c>
    </row>
    <row r="3935" spans="1:4" hidden="1" x14ac:dyDescent="0.25">
      <c r="A3935" t="s">
        <v>656</v>
      </c>
      <c r="B3935" t="s">
        <v>87</v>
      </c>
      <c r="C3935" s="2">
        <f>HYPERLINK("https://sao.dolgi.msk.ru/account/1404108119/", 1404108119)</f>
        <v>1404108119</v>
      </c>
      <c r="D3935">
        <v>0</v>
      </c>
    </row>
    <row r="3936" spans="1:4" x14ac:dyDescent="0.25">
      <c r="A3936" t="s">
        <v>656</v>
      </c>
      <c r="B3936" t="s">
        <v>88</v>
      </c>
      <c r="C3936" s="2">
        <f>HYPERLINK("https://sao.dolgi.msk.ru/account/1404108282/", 1404108282)</f>
        <v>1404108282</v>
      </c>
      <c r="D3936">
        <v>11812.54</v>
      </c>
    </row>
    <row r="3937" spans="1:4" hidden="1" x14ac:dyDescent="0.25">
      <c r="A3937" t="s">
        <v>656</v>
      </c>
      <c r="B3937" t="s">
        <v>89</v>
      </c>
      <c r="C3937" s="2">
        <f>HYPERLINK("https://sao.dolgi.msk.ru/account/1404107845/", 1404107845)</f>
        <v>1404107845</v>
      </c>
      <c r="D3937">
        <v>-5745.96</v>
      </c>
    </row>
    <row r="3938" spans="1:4" hidden="1" x14ac:dyDescent="0.25">
      <c r="A3938" t="s">
        <v>656</v>
      </c>
      <c r="B3938" t="s">
        <v>90</v>
      </c>
      <c r="C3938" s="2">
        <f>HYPERLINK("https://sao.dolgi.msk.ru/account/1404108303/", 1404108303)</f>
        <v>1404108303</v>
      </c>
      <c r="D3938">
        <v>-7721.36</v>
      </c>
    </row>
    <row r="3939" spans="1:4" x14ac:dyDescent="0.25">
      <c r="A3939" t="s">
        <v>656</v>
      </c>
      <c r="B3939" t="s">
        <v>91</v>
      </c>
      <c r="C3939" s="2">
        <f>HYPERLINK("https://sao.dolgi.msk.ru/account/1404107968/", 1404107968)</f>
        <v>1404107968</v>
      </c>
      <c r="D3939">
        <v>5200.71</v>
      </c>
    </row>
    <row r="3940" spans="1:4" hidden="1" x14ac:dyDescent="0.25">
      <c r="A3940" t="s">
        <v>656</v>
      </c>
      <c r="B3940" t="s">
        <v>92</v>
      </c>
      <c r="C3940" s="2">
        <f>HYPERLINK("https://sao.dolgi.msk.ru/account/1404108848/", 1404108848)</f>
        <v>1404108848</v>
      </c>
      <c r="D3940">
        <v>0</v>
      </c>
    </row>
    <row r="3941" spans="1:4" hidden="1" x14ac:dyDescent="0.25">
      <c r="A3941" t="s">
        <v>656</v>
      </c>
      <c r="B3941" t="s">
        <v>93</v>
      </c>
      <c r="C3941" s="2">
        <f>HYPERLINK("https://sao.dolgi.msk.ru/account/1404108426/", 1404108426)</f>
        <v>1404108426</v>
      </c>
      <c r="D3941">
        <v>0</v>
      </c>
    </row>
    <row r="3942" spans="1:4" hidden="1" x14ac:dyDescent="0.25">
      <c r="A3942" t="s">
        <v>656</v>
      </c>
      <c r="B3942" t="s">
        <v>94</v>
      </c>
      <c r="C3942" s="2">
        <f>HYPERLINK("https://sao.dolgi.msk.ru/account/1404108442/", 1404108442)</f>
        <v>1404108442</v>
      </c>
      <c r="D3942">
        <v>-6715.33</v>
      </c>
    </row>
    <row r="3943" spans="1:4" hidden="1" x14ac:dyDescent="0.25">
      <c r="A3943" t="s">
        <v>656</v>
      </c>
      <c r="B3943" t="s">
        <v>95</v>
      </c>
      <c r="C3943" s="2">
        <f>HYPERLINK("https://sao.dolgi.msk.ru/account/1404108856/", 1404108856)</f>
        <v>1404108856</v>
      </c>
      <c r="D3943">
        <v>-4121.9399999999996</v>
      </c>
    </row>
    <row r="3944" spans="1:4" hidden="1" x14ac:dyDescent="0.25">
      <c r="A3944" t="s">
        <v>656</v>
      </c>
      <c r="B3944" t="s">
        <v>96</v>
      </c>
      <c r="C3944" s="2">
        <f>HYPERLINK("https://sao.dolgi.msk.ru/account/1404107853/", 1404107853)</f>
        <v>1404107853</v>
      </c>
      <c r="D3944">
        <v>-2125.69</v>
      </c>
    </row>
    <row r="3945" spans="1:4" x14ac:dyDescent="0.25">
      <c r="A3945" t="s">
        <v>656</v>
      </c>
      <c r="B3945" t="s">
        <v>97</v>
      </c>
      <c r="C3945" s="2">
        <f>HYPERLINK("https://sao.dolgi.msk.ru/account/1404108565/", 1404108565)</f>
        <v>1404108565</v>
      </c>
      <c r="D3945">
        <v>8630.65</v>
      </c>
    </row>
    <row r="3946" spans="1:4" hidden="1" x14ac:dyDescent="0.25">
      <c r="A3946" t="s">
        <v>656</v>
      </c>
      <c r="B3946" t="s">
        <v>98</v>
      </c>
      <c r="C3946" s="2">
        <f>HYPERLINK("https://sao.dolgi.msk.ru/account/1404108469/", 1404108469)</f>
        <v>1404108469</v>
      </c>
      <c r="D3946">
        <v>-764.01</v>
      </c>
    </row>
    <row r="3947" spans="1:4" hidden="1" x14ac:dyDescent="0.25">
      <c r="A3947" t="s">
        <v>656</v>
      </c>
      <c r="B3947" t="s">
        <v>99</v>
      </c>
      <c r="C3947" s="2">
        <f>HYPERLINK("https://sao.dolgi.msk.ru/account/1404107861/", 1404107861)</f>
        <v>1404107861</v>
      </c>
      <c r="D3947">
        <v>-4131.66</v>
      </c>
    </row>
    <row r="3948" spans="1:4" hidden="1" x14ac:dyDescent="0.25">
      <c r="A3948" t="s">
        <v>656</v>
      </c>
      <c r="B3948" t="s">
        <v>100</v>
      </c>
      <c r="C3948" s="2">
        <f>HYPERLINK("https://sao.dolgi.msk.ru/account/1404108573/", 1404108573)</f>
        <v>1404108573</v>
      </c>
      <c r="D3948">
        <v>-3916.85</v>
      </c>
    </row>
    <row r="3949" spans="1:4" hidden="1" x14ac:dyDescent="0.25">
      <c r="A3949" t="s">
        <v>656</v>
      </c>
      <c r="B3949" t="s">
        <v>101</v>
      </c>
      <c r="C3949" s="2">
        <f>HYPERLINK("https://sao.dolgi.msk.ru/account/1404107976/", 1404107976)</f>
        <v>1404107976</v>
      </c>
      <c r="D3949">
        <v>-4728.66</v>
      </c>
    </row>
    <row r="3950" spans="1:4" hidden="1" x14ac:dyDescent="0.25">
      <c r="A3950" t="s">
        <v>656</v>
      </c>
      <c r="B3950" t="s">
        <v>102</v>
      </c>
      <c r="C3950" s="2">
        <f>HYPERLINK("https://sao.dolgi.msk.ru/account/1404108717/", 1404108717)</f>
        <v>1404108717</v>
      </c>
      <c r="D3950">
        <v>0</v>
      </c>
    </row>
    <row r="3951" spans="1:4" hidden="1" x14ac:dyDescent="0.25">
      <c r="A3951" t="s">
        <v>657</v>
      </c>
      <c r="B3951" t="s">
        <v>5</v>
      </c>
      <c r="C3951" s="2">
        <f>HYPERLINK("https://sao.dolgi.msk.ru/account/1404244815/", 1404244815)</f>
        <v>1404244815</v>
      </c>
      <c r="D3951">
        <v>-12007.44</v>
      </c>
    </row>
    <row r="3952" spans="1:4" x14ac:dyDescent="0.25">
      <c r="A3952" t="s">
        <v>657</v>
      </c>
      <c r="B3952" t="s">
        <v>6</v>
      </c>
      <c r="C3952" s="2">
        <f>HYPERLINK("https://sao.dolgi.msk.ru/account/1404243994/", 1404243994)</f>
        <v>1404243994</v>
      </c>
      <c r="D3952">
        <v>11264.67</v>
      </c>
    </row>
    <row r="3953" spans="1:4" hidden="1" x14ac:dyDescent="0.25">
      <c r="A3953" t="s">
        <v>657</v>
      </c>
      <c r="B3953" t="s">
        <v>7</v>
      </c>
      <c r="C3953" s="2">
        <f>HYPERLINK("https://sao.dolgi.msk.ru/account/1404244284/", 1404244284)</f>
        <v>1404244284</v>
      </c>
      <c r="D3953">
        <v>0</v>
      </c>
    </row>
    <row r="3954" spans="1:4" hidden="1" x14ac:dyDescent="0.25">
      <c r="A3954" t="s">
        <v>657</v>
      </c>
      <c r="B3954" t="s">
        <v>8</v>
      </c>
      <c r="C3954" s="2">
        <f>HYPERLINK("https://sao.dolgi.msk.ru/account/1404245826/", 1404245826)</f>
        <v>1404245826</v>
      </c>
      <c r="D3954">
        <v>-8841.7900000000009</v>
      </c>
    </row>
    <row r="3955" spans="1:4" hidden="1" x14ac:dyDescent="0.25">
      <c r="A3955" t="s">
        <v>657</v>
      </c>
      <c r="B3955" t="s">
        <v>9</v>
      </c>
      <c r="C3955" s="2">
        <f>HYPERLINK("https://sao.dolgi.msk.ru/account/1404245244/", 1404245244)</f>
        <v>1404245244</v>
      </c>
      <c r="D3955">
        <v>0</v>
      </c>
    </row>
    <row r="3956" spans="1:4" hidden="1" x14ac:dyDescent="0.25">
      <c r="A3956" t="s">
        <v>657</v>
      </c>
      <c r="B3956" t="s">
        <v>10</v>
      </c>
      <c r="C3956" s="2">
        <f>HYPERLINK("https://sao.dolgi.msk.ru/account/1404243425/", 1404243425)</f>
        <v>1404243425</v>
      </c>
      <c r="D3956">
        <v>-59.73</v>
      </c>
    </row>
    <row r="3957" spans="1:4" hidden="1" x14ac:dyDescent="0.25">
      <c r="A3957" t="s">
        <v>657</v>
      </c>
      <c r="B3957" t="s">
        <v>11</v>
      </c>
      <c r="C3957" s="2">
        <f>HYPERLINK("https://sao.dolgi.msk.ru/account/1404245615/", 1404245615)</f>
        <v>1404245615</v>
      </c>
      <c r="D3957">
        <v>-3194.7</v>
      </c>
    </row>
    <row r="3958" spans="1:4" hidden="1" x14ac:dyDescent="0.25">
      <c r="A3958" t="s">
        <v>657</v>
      </c>
      <c r="B3958" t="s">
        <v>12</v>
      </c>
      <c r="C3958" s="2">
        <f>HYPERLINK("https://sao.dolgi.msk.ru/account/1404245746/", 1404245746)</f>
        <v>1404245746</v>
      </c>
      <c r="D3958">
        <v>-6990.99</v>
      </c>
    </row>
    <row r="3959" spans="1:4" hidden="1" x14ac:dyDescent="0.25">
      <c r="A3959" t="s">
        <v>657</v>
      </c>
      <c r="B3959" t="s">
        <v>12</v>
      </c>
      <c r="C3959" s="2">
        <f>HYPERLINK("https://sao.dolgi.msk.ru/account/1404245869/", 1404245869)</f>
        <v>1404245869</v>
      </c>
      <c r="D3959">
        <v>-3057.2</v>
      </c>
    </row>
    <row r="3960" spans="1:4" hidden="1" x14ac:dyDescent="0.25">
      <c r="A3960" t="s">
        <v>657</v>
      </c>
      <c r="B3960" t="s">
        <v>13</v>
      </c>
      <c r="C3960" s="2">
        <f>HYPERLINK("https://sao.dolgi.msk.ru/account/1404244997/", 1404244997)</f>
        <v>1404244997</v>
      </c>
      <c r="D3960">
        <v>-15180.39</v>
      </c>
    </row>
    <row r="3961" spans="1:4" hidden="1" x14ac:dyDescent="0.25">
      <c r="A3961" t="s">
        <v>657</v>
      </c>
      <c r="B3961" t="s">
        <v>14</v>
      </c>
      <c r="C3961" s="2">
        <f>HYPERLINK("https://sao.dolgi.msk.ru/account/1404244188/", 1404244188)</f>
        <v>1404244188</v>
      </c>
      <c r="D3961">
        <v>-4145.6400000000003</v>
      </c>
    </row>
    <row r="3962" spans="1:4" hidden="1" x14ac:dyDescent="0.25">
      <c r="A3962" t="s">
        <v>657</v>
      </c>
      <c r="B3962" t="s">
        <v>15</v>
      </c>
      <c r="C3962" s="2">
        <f>HYPERLINK("https://sao.dolgi.msk.ru/account/1404245113/", 1404245113)</f>
        <v>1404245113</v>
      </c>
      <c r="D3962">
        <v>0</v>
      </c>
    </row>
    <row r="3963" spans="1:4" x14ac:dyDescent="0.25">
      <c r="A3963" t="s">
        <v>657</v>
      </c>
      <c r="B3963" t="s">
        <v>16</v>
      </c>
      <c r="C3963" s="2">
        <f>HYPERLINK("https://sao.dolgi.msk.ru/account/1404244495/", 1404244495)</f>
        <v>1404244495</v>
      </c>
      <c r="D3963">
        <v>555.67999999999995</v>
      </c>
    </row>
    <row r="3964" spans="1:4" x14ac:dyDescent="0.25">
      <c r="A3964" t="s">
        <v>657</v>
      </c>
      <c r="B3964" t="s">
        <v>16</v>
      </c>
      <c r="C3964" s="2">
        <f>HYPERLINK("https://sao.dolgi.msk.ru/account/1404245834/", 1404245834)</f>
        <v>1404245834</v>
      </c>
      <c r="D3964">
        <v>4567.6099999999997</v>
      </c>
    </row>
    <row r="3965" spans="1:4" hidden="1" x14ac:dyDescent="0.25">
      <c r="A3965" t="s">
        <v>657</v>
      </c>
      <c r="B3965" t="s">
        <v>17</v>
      </c>
      <c r="C3965" s="2">
        <f>HYPERLINK("https://sao.dolgi.msk.ru/account/1404243556/", 1404243556)</f>
        <v>1404243556</v>
      </c>
      <c r="D3965">
        <v>-11169.22</v>
      </c>
    </row>
    <row r="3966" spans="1:4" hidden="1" x14ac:dyDescent="0.25">
      <c r="A3966" t="s">
        <v>657</v>
      </c>
      <c r="B3966" t="s">
        <v>18</v>
      </c>
      <c r="C3966" s="2">
        <f>HYPERLINK("https://sao.dolgi.msk.ru/account/1404245439/", 1404245439)</f>
        <v>1404245439</v>
      </c>
      <c r="D3966">
        <v>-3527.96</v>
      </c>
    </row>
    <row r="3967" spans="1:4" hidden="1" x14ac:dyDescent="0.25">
      <c r="A3967" t="s">
        <v>657</v>
      </c>
      <c r="B3967" t="s">
        <v>19</v>
      </c>
      <c r="C3967" s="2">
        <f>HYPERLINK("https://sao.dolgi.msk.ru/account/1404245754/", 1404245754)</f>
        <v>1404245754</v>
      </c>
      <c r="D3967">
        <v>-2772.01</v>
      </c>
    </row>
    <row r="3968" spans="1:4" hidden="1" x14ac:dyDescent="0.25">
      <c r="A3968" t="s">
        <v>657</v>
      </c>
      <c r="B3968" t="s">
        <v>20</v>
      </c>
      <c r="C3968" s="2">
        <f>HYPERLINK("https://sao.dolgi.msk.ru/account/1404245674/", 1404245674)</f>
        <v>1404245674</v>
      </c>
      <c r="D3968">
        <v>-11296.24</v>
      </c>
    </row>
    <row r="3969" spans="1:4" x14ac:dyDescent="0.25">
      <c r="A3969" t="s">
        <v>657</v>
      </c>
      <c r="B3969" t="s">
        <v>21</v>
      </c>
      <c r="C3969" s="2">
        <f>HYPERLINK("https://sao.dolgi.msk.ru/account/1404243476/", 1404243476)</f>
        <v>1404243476</v>
      </c>
      <c r="D3969">
        <v>3306.89</v>
      </c>
    </row>
    <row r="3970" spans="1:4" hidden="1" x14ac:dyDescent="0.25">
      <c r="A3970" t="s">
        <v>657</v>
      </c>
      <c r="B3970" t="s">
        <v>22</v>
      </c>
      <c r="C3970" s="2">
        <f>HYPERLINK("https://sao.dolgi.msk.ru/account/1404245404/", 1404245404)</f>
        <v>1404245404</v>
      </c>
      <c r="D3970">
        <v>-3814.55</v>
      </c>
    </row>
    <row r="3971" spans="1:4" hidden="1" x14ac:dyDescent="0.25">
      <c r="A3971" t="s">
        <v>657</v>
      </c>
      <c r="B3971" t="s">
        <v>23</v>
      </c>
      <c r="C3971" s="2">
        <f>HYPERLINK("https://sao.dolgi.msk.ru/account/1404245551/", 1404245551)</f>
        <v>1404245551</v>
      </c>
      <c r="D3971">
        <v>-4344.74</v>
      </c>
    </row>
    <row r="3972" spans="1:4" hidden="1" x14ac:dyDescent="0.25">
      <c r="A3972" t="s">
        <v>657</v>
      </c>
      <c r="B3972" t="s">
        <v>24</v>
      </c>
      <c r="C3972" s="2">
        <f>HYPERLINK("https://sao.dolgi.msk.ru/account/1404245025/", 1404245025)</f>
        <v>1404245025</v>
      </c>
      <c r="D3972">
        <v>0</v>
      </c>
    </row>
    <row r="3973" spans="1:4" hidden="1" x14ac:dyDescent="0.25">
      <c r="A3973" t="s">
        <v>657</v>
      </c>
      <c r="B3973" t="s">
        <v>25</v>
      </c>
      <c r="C3973" s="2">
        <f>HYPERLINK("https://sao.dolgi.msk.ru/account/1404244874/", 1404244874)</f>
        <v>1404244874</v>
      </c>
      <c r="D3973">
        <v>0</v>
      </c>
    </row>
    <row r="3974" spans="1:4" hidden="1" x14ac:dyDescent="0.25">
      <c r="A3974" t="s">
        <v>657</v>
      </c>
      <c r="B3974" t="s">
        <v>26</v>
      </c>
      <c r="C3974" s="2">
        <f>HYPERLINK("https://sao.dolgi.msk.ru/account/1404243855/", 1404243855)</f>
        <v>1404243855</v>
      </c>
      <c r="D3974">
        <v>-8018.97</v>
      </c>
    </row>
    <row r="3975" spans="1:4" hidden="1" x14ac:dyDescent="0.25">
      <c r="A3975" t="s">
        <v>657</v>
      </c>
      <c r="B3975" t="s">
        <v>27</v>
      </c>
      <c r="C3975" s="2">
        <f>HYPERLINK("https://sao.dolgi.msk.ru/account/1404244559/", 1404244559)</f>
        <v>1404244559</v>
      </c>
      <c r="D3975">
        <v>-7577.16</v>
      </c>
    </row>
    <row r="3976" spans="1:4" hidden="1" x14ac:dyDescent="0.25">
      <c r="A3976" t="s">
        <v>657</v>
      </c>
      <c r="B3976" t="s">
        <v>28</v>
      </c>
      <c r="C3976" s="2">
        <f>HYPERLINK("https://sao.dolgi.msk.ru/account/1404243572/", 1404243572)</f>
        <v>1404243572</v>
      </c>
      <c r="D3976">
        <v>-8442.7900000000009</v>
      </c>
    </row>
    <row r="3977" spans="1:4" hidden="1" x14ac:dyDescent="0.25">
      <c r="A3977" t="s">
        <v>657</v>
      </c>
      <c r="B3977" t="s">
        <v>29</v>
      </c>
      <c r="C3977" s="2">
        <f>HYPERLINK("https://sao.dolgi.msk.ru/account/1404245471/", 1404245471)</f>
        <v>1404245471</v>
      </c>
      <c r="D3977">
        <v>-4924.0600000000004</v>
      </c>
    </row>
    <row r="3978" spans="1:4" hidden="1" x14ac:dyDescent="0.25">
      <c r="A3978" t="s">
        <v>657</v>
      </c>
      <c r="B3978" t="s">
        <v>30</v>
      </c>
      <c r="C3978" s="2">
        <f>HYPERLINK("https://sao.dolgi.msk.ru/account/1404245789/", 1404245789)</f>
        <v>1404245789</v>
      </c>
      <c r="D3978">
        <v>-6303.42</v>
      </c>
    </row>
    <row r="3979" spans="1:4" hidden="1" x14ac:dyDescent="0.25">
      <c r="A3979" t="s">
        <v>657</v>
      </c>
      <c r="B3979" t="s">
        <v>31</v>
      </c>
      <c r="C3979" s="2">
        <f>HYPERLINK("https://sao.dolgi.msk.ru/account/1404244567/", 1404244567)</f>
        <v>1404244567</v>
      </c>
      <c r="D3979">
        <v>-5428.27</v>
      </c>
    </row>
    <row r="3980" spans="1:4" hidden="1" x14ac:dyDescent="0.25">
      <c r="A3980" t="s">
        <v>657</v>
      </c>
      <c r="B3980" t="s">
        <v>32</v>
      </c>
      <c r="C3980" s="2">
        <f>HYPERLINK("https://sao.dolgi.msk.ru/account/1404243599/", 1404243599)</f>
        <v>1404243599</v>
      </c>
      <c r="D3980">
        <v>-9142.7900000000009</v>
      </c>
    </row>
    <row r="3981" spans="1:4" hidden="1" x14ac:dyDescent="0.25">
      <c r="A3981" t="s">
        <v>657</v>
      </c>
      <c r="B3981" t="s">
        <v>33</v>
      </c>
      <c r="C3981" s="2">
        <f>HYPERLINK("https://sao.dolgi.msk.ru/account/1404243601/", 1404243601)</f>
        <v>1404243601</v>
      </c>
      <c r="D3981">
        <v>-8279.66</v>
      </c>
    </row>
    <row r="3982" spans="1:4" hidden="1" x14ac:dyDescent="0.25">
      <c r="A3982" t="s">
        <v>657</v>
      </c>
      <c r="B3982" t="s">
        <v>34</v>
      </c>
      <c r="C3982" s="2">
        <f>HYPERLINK("https://sao.dolgi.msk.ru/account/1404244882/", 1404244882)</f>
        <v>1404244882</v>
      </c>
      <c r="D3982">
        <v>-3500.62</v>
      </c>
    </row>
    <row r="3983" spans="1:4" hidden="1" x14ac:dyDescent="0.25">
      <c r="A3983" t="s">
        <v>657</v>
      </c>
      <c r="B3983" t="s">
        <v>35</v>
      </c>
      <c r="C3983" s="2">
        <f>HYPERLINK("https://sao.dolgi.msk.ru/account/1404245797/", 1404245797)</f>
        <v>1404245797</v>
      </c>
      <c r="D3983">
        <v>-283.64999999999998</v>
      </c>
    </row>
    <row r="3984" spans="1:4" hidden="1" x14ac:dyDescent="0.25">
      <c r="A3984" t="s">
        <v>657</v>
      </c>
      <c r="B3984" t="s">
        <v>36</v>
      </c>
      <c r="C3984" s="2">
        <f>HYPERLINK("https://sao.dolgi.msk.ru/account/1404244903/", 1404244903)</f>
        <v>1404244903</v>
      </c>
      <c r="D3984">
        <v>-4388.3500000000004</v>
      </c>
    </row>
    <row r="3985" spans="1:4" x14ac:dyDescent="0.25">
      <c r="A3985" t="s">
        <v>657</v>
      </c>
      <c r="B3985" t="s">
        <v>37</v>
      </c>
      <c r="C3985" s="2">
        <f>HYPERLINK("https://sao.dolgi.msk.ru/account/1404245578/", 1404245578)</f>
        <v>1404245578</v>
      </c>
      <c r="D3985">
        <v>97215.33</v>
      </c>
    </row>
    <row r="3986" spans="1:4" hidden="1" x14ac:dyDescent="0.25">
      <c r="A3986" t="s">
        <v>657</v>
      </c>
      <c r="B3986" t="s">
        <v>38</v>
      </c>
      <c r="C3986" s="2">
        <f>HYPERLINK("https://sao.dolgi.msk.ru/account/1404243943/", 1404243943)</f>
        <v>1404243943</v>
      </c>
      <c r="D3986">
        <v>-5373.56</v>
      </c>
    </row>
    <row r="3987" spans="1:4" hidden="1" x14ac:dyDescent="0.25">
      <c r="A3987" t="s">
        <v>657</v>
      </c>
      <c r="B3987" t="s">
        <v>39</v>
      </c>
      <c r="C3987" s="2">
        <f>HYPERLINK("https://sao.dolgi.msk.ru/account/1404244292/", 1404244292)</f>
        <v>1404244292</v>
      </c>
      <c r="D3987">
        <v>-4614.84</v>
      </c>
    </row>
    <row r="3988" spans="1:4" x14ac:dyDescent="0.25">
      <c r="A3988" t="s">
        <v>657</v>
      </c>
      <c r="B3988" t="s">
        <v>40</v>
      </c>
      <c r="C3988" s="2">
        <f>HYPERLINK("https://sao.dolgi.msk.ru/account/1404244575/", 1404244575)</f>
        <v>1404244575</v>
      </c>
      <c r="D3988">
        <v>46530.23</v>
      </c>
    </row>
    <row r="3989" spans="1:4" hidden="1" x14ac:dyDescent="0.25">
      <c r="A3989" t="s">
        <v>657</v>
      </c>
      <c r="B3989" t="s">
        <v>41</v>
      </c>
      <c r="C3989" s="2">
        <f>HYPERLINK("https://sao.dolgi.msk.ru/account/1404244911/", 1404244911)</f>
        <v>1404244911</v>
      </c>
      <c r="D3989">
        <v>-5634.46</v>
      </c>
    </row>
    <row r="3990" spans="1:4" hidden="1" x14ac:dyDescent="0.25">
      <c r="A3990" t="s">
        <v>657</v>
      </c>
      <c r="B3990" t="s">
        <v>42</v>
      </c>
      <c r="C3990" s="2">
        <f>HYPERLINK("https://sao.dolgi.msk.ru/account/1404243951/", 1404243951)</f>
        <v>1404243951</v>
      </c>
      <c r="D3990">
        <v>-5312.19</v>
      </c>
    </row>
    <row r="3991" spans="1:4" hidden="1" x14ac:dyDescent="0.25">
      <c r="A3991" t="s">
        <v>657</v>
      </c>
      <c r="B3991" t="s">
        <v>43</v>
      </c>
      <c r="C3991" s="2">
        <f>HYPERLINK("https://sao.dolgi.msk.ru/account/1404245818/", 1404245818)</f>
        <v>1404245818</v>
      </c>
      <c r="D3991">
        <v>-5393.7</v>
      </c>
    </row>
    <row r="3992" spans="1:4" hidden="1" x14ac:dyDescent="0.25">
      <c r="A3992" t="s">
        <v>657</v>
      </c>
      <c r="B3992" t="s">
        <v>44</v>
      </c>
      <c r="C3992" s="2">
        <f>HYPERLINK("https://sao.dolgi.msk.ru/account/1404245877/", 1404245877)</f>
        <v>1404245877</v>
      </c>
      <c r="D3992">
        <v>0</v>
      </c>
    </row>
    <row r="3993" spans="1:4" hidden="1" x14ac:dyDescent="0.25">
      <c r="A3993" t="s">
        <v>657</v>
      </c>
      <c r="B3993" t="s">
        <v>45</v>
      </c>
      <c r="C3993" s="2">
        <f>HYPERLINK("https://sao.dolgi.msk.ru/account/1404244647/", 1404244647)</f>
        <v>1404244647</v>
      </c>
      <c r="D3993">
        <v>-11126.39</v>
      </c>
    </row>
    <row r="3994" spans="1:4" x14ac:dyDescent="0.25">
      <c r="A3994" t="s">
        <v>657</v>
      </c>
      <c r="B3994" t="s">
        <v>46</v>
      </c>
      <c r="C3994" s="2">
        <f>HYPERLINK("https://sao.dolgi.msk.ru/account/1404245519/", 1404245519)</f>
        <v>1404245519</v>
      </c>
      <c r="D3994">
        <v>17697.32</v>
      </c>
    </row>
    <row r="3995" spans="1:4" x14ac:dyDescent="0.25">
      <c r="A3995" t="s">
        <v>657</v>
      </c>
      <c r="B3995" t="s">
        <v>47</v>
      </c>
      <c r="C3995" s="2">
        <f>HYPERLINK("https://sao.dolgi.msk.ru/account/1404244321/", 1404244321)</f>
        <v>1404244321</v>
      </c>
      <c r="D3995">
        <v>3974.59</v>
      </c>
    </row>
    <row r="3996" spans="1:4" hidden="1" x14ac:dyDescent="0.25">
      <c r="A3996" t="s">
        <v>657</v>
      </c>
      <c r="B3996" t="s">
        <v>48</v>
      </c>
      <c r="C3996" s="2">
        <f>HYPERLINK("https://sao.dolgi.msk.ru/account/1404243652/", 1404243652)</f>
        <v>1404243652</v>
      </c>
      <c r="D3996">
        <v>-3661.96</v>
      </c>
    </row>
    <row r="3997" spans="1:4" hidden="1" x14ac:dyDescent="0.25">
      <c r="A3997" t="s">
        <v>657</v>
      </c>
      <c r="B3997" t="s">
        <v>49</v>
      </c>
      <c r="C3997" s="2">
        <f>HYPERLINK("https://sao.dolgi.msk.ru/account/1404245527/", 1404245527)</f>
        <v>1404245527</v>
      </c>
      <c r="D3997">
        <v>-8687.9500000000007</v>
      </c>
    </row>
    <row r="3998" spans="1:4" hidden="1" x14ac:dyDescent="0.25">
      <c r="A3998" t="s">
        <v>657</v>
      </c>
      <c r="B3998" t="s">
        <v>50</v>
      </c>
      <c r="C3998" s="2">
        <f>HYPERLINK("https://sao.dolgi.msk.ru/account/1404244049/", 1404244049)</f>
        <v>1404244049</v>
      </c>
      <c r="D3998">
        <v>-5189.95</v>
      </c>
    </row>
    <row r="3999" spans="1:4" hidden="1" x14ac:dyDescent="0.25">
      <c r="A3999" t="s">
        <v>657</v>
      </c>
      <c r="B3999" t="s">
        <v>51</v>
      </c>
      <c r="C3999" s="2">
        <f>HYPERLINK("https://sao.dolgi.msk.ru/account/1404244057/", 1404244057)</f>
        <v>1404244057</v>
      </c>
      <c r="D3999">
        <v>-5773.34</v>
      </c>
    </row>
    <row r="4000" spans="1:4" hidden="1" x14ac:dyDescent="0.25">
      <c r="A4000" t="s">
        <v>657</v>
      </c>
      <c r="B4000" t="s">
        <v>52</v>
      </c>
      <c r="C4000" s="2">
        <f>HYPERLINK("https://sao.dolgi.msk.ru/account/1404244348/", 1404244348)</f>
        <v>1404244348</v>
      </c>
      <c r="D4000">
        <v>-6424.6</v>
      </c>
    </row>
    <row r="4001" spans="1:4" x14ac:dyDescent="0.25">
      <c r="A4001" t="s">
        <v>657</v>
      </c>
      <c r="B4001" t="s">
        <v>53</v>
      </c>
      <c r="C4001" s="2">
        <f>HYPERLINK("https://sao.dolgi.msk.ru/account/1404245279/", 1404245279)</f>
        <v>1404245279</v>
      </c>
      <c r="D4001">
        <v>29937.62</v>
      </c>
    </row>
    <row r="4002" spans="1:4" hidden="1" x14ac:dyDescent="0.25">
      <c r="A4002" t="s">
        <v>657</v>
      </c>
      <c r="B4002" t="s">
        <v>54</v>
      </c>
      <c r="C4002" s="2">
        <f>HYPERLINK("https://sao.dolgi.msk.ru/account/1404244591/", 1404244591)</f>
        <v>1404244591</v>
      </c>
      <c r="D4002">
        <v>0</v>
      </c>
    </row>
    <row r="4003" spans="1:4" hidden="1" x14ac:dyDescent="0.25">
      <c r="A4003" t="s">
        <v>657</v>
      </c>
      <c r="B4003" t="s">
        <v>55</v>
      </c>
      <c r="C4003" s="2">
        <f>HYPERLINK("https://sao.dolgi.msk.ru/account/1404244006/", 1404244006)</f>
        <v>1404244006</v>
      </c>
      <c r="D4003">
        <v>-6746.52</v>
      </c>
    </row>
    <row r="4004" spans="1:4" hidden="1" x14ac:dyDescent="0.25">
      <c r="A4004" t="s">
        <v>657</v>
      </c>
      <c r="B4004" t="s">
        <v>56</v>
      </c>
      <c r="C4004" s="2">
        <f>HYPERLINK("https://sao.dolgi.msk.ru/account/1404243628/", 1404243628)</f>
        <v>1404243628</v>
      </c>
      <c r="D4004">
        <v>-6222.79</v>
      </c>
    </row>
    <row r="4005" spans="1:4" hidden="1" x14ac:dyDescent="0.25">
      <c r="A4005" t="s">
        <v>657</v>
      </c>
      <c r="B4005" t="s">
        <v>57</v>
      </c>
      <c r="C4005" s="2">
        <f>HYPERLINK("https://sao.dolgi.msk.ru/account/1404244014/", 1404244014)</f>
        <v>1404244014</v>
      </c>
      <c r="D4005">
        <v>0</v>
      </c>
    </row>
    <row r="4006" spans="1:4" hidden="1" x14ac:dyDescent="0.25">
      <c r="A4006" t="s">
        <v>657</v>
      </c>
      <c r="B4006" t="s">
        <v>58</v>
      </c>
      <c r="C4006" s="2">
        <f>HYPERLINK("https://sao.dolgi.msk.ru/account/1404245252/", 1404245252)</f>
        <v>1404245252</v>
      </c>
      <c r="D4006">
        <v>0</v>
      </c>
    </row>
    <row r="4007" spans="1:4" hidden="1" x14ac:dyDescent="0.25">
      <c r="A4007" t="s">
        <v>657</v>
      </c>
      <c r="B4007" t="s">
        <v>59</v>
      </c>
      <c r="C4007" s="2">
        <f>HYPERLINK("https://sao.dolgi.msk.ru/account/1404244946/", 1404244946)</f>
        <v>1404244946</v>
      </c>
      <c r="D4007">
        <v>0</v>
      </c>
    </row>
    <row r="4008" spans="1:4" x14ac:dyDescent="0.25">
      <c r="A4008" t="s">
        <v>657</v>
      </c>
      <c r="B4008" t="s">
        <v>60</v>
      </c>
      <c r="C4008" s="2">
        <f>HYPERLINK("https://sao.dolgi.msk.ru/account/1404243978/", 1404243978)</f>
        <v>1404243978</v>
      </c>
      <c r="D4008">
        <v>42949.65</v>
      </c>
    </row>
    <row r="4009" spans="1:4" hidden="1" x14ac:dyDescent="0.25">
      <c r="A4009" t="s">
        <v>657</v>
      </c>
      <c r="B4009" t="s">
        <v>61</v>
      </c>
      <c r="C4009" s="2">
        <f>HYPERLINK("https://sao.dolgi.msk.ru/account/1404244583/", 1404244583)</f>
        <v>1404244583</v>
      </c>
      <c r="D4009">
        <v>0</v>
      </c>
    </row>
    <row r="4010" spans="1:4" x14ac:dyDescent="0.25">
      <c r="A4010" t="s">
        <v>657</v>
      </c>
      <c r="B4010" t="s">
        <v>62</v>
      </c>
      <c r="C4010" s="2">
        <f>HYPERLINK("https://sao.dolgi.msk.ru/account/1404245367/", 1404245367)</f>
        <v>1404245367</v>
      </c>
      <c r="D4010">
        <v>20544.18</v>
      </c>
    </row>
    <row r="4011" spans="1:4" hidden="1" x14ac:dyDescent="0.25">
      <c r="A4011" t="s">
        <v>657</v>
      </c>
      <c r="B4011" t="s">
        <v>63</v>
      </c>
      <c r="C4011" s="2">
        <f>HYPERLINK("https://sao.dolgi.msk.ru/account/1404244401/", 1404244401)</f>
        <v>1404244401</v>
      </c>
      <c r="D4011">
        <v>-6215.37</v>
      </c>
    </row>
    <row r="4012" spans="1:4" x14ac:dyDescent="0.25">
      <c r="A4012" t="s">
        <v>657</v>
      </c>
      <c r="B4012" t="s">
        <v>64</v>
      </c>
      <c r="C4012" s="2">
        <f>HYPERLINK("https://sao.dolgi.msk.ru/account/1404244428/", 1404244428)</f>
        <v>1404244428</v>
      </c>
      <c r="D4012">
        <v>7323.94</v>
      </c>
    </row>
    <row r="4013" spans="1:4" hidden="1" x14ac:dyDescent="0.25">
      <c r="A4013" t="s">
        <v>657</v>
      </c>
      <c r="B4013" t="s">
        <v>65</v>
      </c>
      <c r="C4013" s="2">
        <f>HYPERLINK("https://sao.dolgi.msk.ru/account/1404245594/", 1404245594)</f>
        <v>1404245594</v>
      </c>
      <c r="D4013">
        <v>0</v>
      </c>
    </row>
    <row r="4014" spans="1:4" hidden="1" x14ac:dyDescent="0.25">
      <c r="A4014" t="s">
        <v>657</v>
      </c>
      <c r="B4014" t="s">
        <v>66</v>
      </c>
      <c r="C4014" s="2">
        <f>HYPERLINK("https://sao.dolgi.msk.ru/account/1404244081/", 1404244081)</f>
        <v>1404244081</v>
      </c>
      <c r="D4014">
        <v>-3713.07</v>
      </c>
    </row>
    <row r="4015" spans="1:4" hidden="1" x14ac:dyDescent="0.25">
      <c r="A4015" t="s">
        <v>657</v>
      </c>
      <c r="B4015" t="s">
        <v>67</v>
      </c>
      <c r="C4015" s="2">
        <f>HYPERLINK("https://sao.dolgi.msk.ru/account/1404245033/", 1404245033)</f>
        <v>1404245033</v>
      </c>
      <c r="D4015">
        <v>0</v>
      </c>
    </row>
    <row r="4016" spans="1:4" hidden="1" x14ac:dyDescent="0.25">
      <c r="A4016" t="s">
        <v>657</v>
      </c>
      <c r="B4016" t="s">
        <v>68</v>
      </c>
      <c r="C4016" s="2">
        <f>HYPERLINK("https://sao.dolgi.msk.ru/account/1404245359/", 1404245359)</f>
        <v>1404245359</v>
      </c>
      <c r="D4016">
        <v>-7820.16</v>
      </c>
    </row>
    <row r="4017" spans="1:4" hidden="1" x14ac:dyDescent="0.25">
      <c r="A4017" t="s">
        <v>657</v>
      </c>
      <c r="B4017" t="s">
        <v>69</v>
      </c>
      <c r="C4017" s="2">
        <f>HYPERLINK("https://sao.dolgi.msk.ru/account/1404243708/", 1404243708)</f>
        <v>1404243708</v>
      </c>
      <c r="D4017">
        <v>-2093.38</v>
      </c>
    </row>
    <row r="4018" spans="1:4" x14ac:dyDescent="0.25">
      <c r="A4018" t="s">
        <v>657</v>
      </c>
      <c r="B4018" t="s">
        <v>69</v>
      </c>
      <c r="C4018" s="2">
        <f>HYPERLINK("https://sao.dolgi.msk.ru/account/1404244305/", 1404244305)</f>
        <v>1404244305</v>
      </c>
      <c r="D4018">
        <v>23987.69</v>
      </c>
    </row>
    <row r="4019" spans="1:4" hidden="1" x14ac:dyDescent="0.25">
      <c r="A4019" t="s">
        <v>657</v>
      </c>
      <c r="B4019" t="s">
        <v>70</v>
      </c>
      <c r="C4019" s="2">
        <f>HYPERLINK("https://sao.dolgi.msk.ru/account/1404244989/", 1404244989)</f>
        <v>1404244989</v>
      </c>
      <c r="D4019">
        <v>0</v>
      </c>
    </row>
    <row r="4020" spans="1:4" hidden="1" x14ac:dyDescent="0.25">
      <c r="A4020" t="s">
        <v>657</v>
      </c>
      <c r="B4020" t="s">
        <v>71</v>
      </c>
      <c r="C4020" s="2">
        <f>HYPERLINK("https://sao.dolgi.msk.ru/account/1404245607/", 1404245607)</f>
        <v>1404245607</v>
      </c>
      <c r="D4020">
        <v>-4524.8100000000004</v>
      </c>
    </row>
    <row r="4021" spans="1:4" x14ac:dyDescent="0.25">
      <c r="A4021" t="s">
        <v>657</v>
      </c>
      <c r="B4021" t="s">
        <v>72</v>
      </c>
      <c r="C4021" s="2">
        <f>HYPERLINK("https://sao.dolgi.msk.ru/account/1404243716/", 1404243716)</f>
        <v>1404243716</v>
      </c>
      <c r="D4021">
        <v>1488.82</v>
      </c>
    </row>
    <row r="4022" spans="1:4" hidden="1" x14ac:dyDescent="0.25">
      <c r="A4022" t="s">
        <v>657</v>
      </c>
      <c r="B4022" t="s">
        <v>73</v>
      </c>
      <c r="C4022" s="2">
        <f>HYPERLINK("https://sao.dolgi.msk.ru/account/1404244102/", 1404244102)</f>
        <v>1404244102</v>
      </c>
      <c r="D4022">
        <v>0</v>
      </c>
    </row>
    <row r="4023" spans="1:4" hidden="1" x14ac:dyDescent="0.25">
      <c r="A4023" t="s">
        <v>657</v>
      </c>
      <c r="B4023" t="s">
        <v>74</v>
      </c>
      <c r="C4023" s="2">
        <f>HYPERLINK("https://sao.dolgi.msk.ru/account/1404245623/", 1404245623)</f>
        <v>1404245623</v>
      </c>
      <c r="D4023">
        <v>-4035.73</v>
      </c>
    </row>
    <row r="4024" spans="1:4" hidden="1" x14ac:dyDescent="0.25">
      <c r="A4024" t="s">
        <v>657</v>
      </c>
      <c r="B4024" t="s">
        <v>75</v>
      </c>
      <c r="C4024" s="2">
        <f>HYPERLINK("https://sao.dolgi.msk.ru/account/1404245041/", 1404245041)</f>
        <v>1404245041</v>
      </c>
      <c r="D4024">
        <v>0</v>
      </c>
    </row>
    <row r="4025" spans="1:4" hidden="1" x14ac:dyDescent="0.25">
      <c r="A4025" t="s">
        <v>657</v>
      </c>
      <c r="B4025" t="s">
        <v>76</v>
      </c>
      <c r="C4025" s="2">
        <f>HYPERLINK("https://sao.dolgi.msk.ru/account/1404243433/", 1404243433)</f>
        <v>1404243433</v>
      </c>
      <c r="D4025">
        <v>-8886.39</v>
      </c>
    </row>
    <row r="4026" spans="1:4" hidden="1" x14ac:dyDescent="0.25">
      <c r="A4026" t="s">
        <v>657</v>
      </c>
      <c r="B4026" t="s">
        <v>77</v>
      </c>
      <c r="C4026" s="2">
        <f>HYPERLINK("https://sao.dolgi.msk.ru/account/1404245535/", 1404245535)</f>
        <v>1404245535</v>
      </c>
      <c r="D4026">
        <v>0</v>
      </c>
    </row>
    <row r="4027" spans="1:4" x14ac:dyDescent="0.25">
      <c r="A4027" t="s">
        <v>657</v>
      </c>
      <c r="B4027" t="s">
        <v>78</v>
      </c>
      <c r="C4027" s="2">
        <f>HYPERLINK("https://sao.dolgi.msk.ru/account/1404245586/", 1404245586)</f>
        <v>1404245586</v>
      </c>
      <c r="D4027">
        <v>9360.34</v>
      </c>
    </row>
    <row r="4028" spans="1:4" hidden="1" x14ac:dyDescent="0.25">
      <c r="A4028" t="s">
        <v>657</v>
      </c>
      <c r="B4028" t="s">
        <v>79</v>
      </c>
      <c r="C4028" s="2">
        <f>HYPERLINK("https://sao.dolgi.msk.ru/account/1404243417/", 1404243417)</f>
        <v>1404243417</v>
      </c>
      <c r="D4028">
        <v>-3343.22</v>
      </c>
    </row>
    <row r="4029" spans="1:4" hidden="1" x14ac:dyDescent="0.25">
      <c r="A4029" t="s">
        <v>657</v>
      </c>
      <c r="B4029" t="s">
        <v>80</v>
      </c>
      <c r="C4029" s="2">
        <f>HYPERLINK("https://sao.dolgi.msk.ru/account/1404244743/", 1404244743)</f>
        <v>1404244743</v>
      </c>
      <c r="D4029">
        <v>-5759.2</v>
      </c>
    </row>
    <row r="4030" spans="1:4" hidden="1" x14ac:dyDescent="0.25">
      <c r="A4030" t="s">
        <v>657</v>
      </c>
      <c r="B4030" t="s">
        <v>81</v>
      </c>
      <c r="C4030" s="2">
        <f>HYPERLINK("https://sao.dolgi.msk.ru/account/1404245842/", 1404245842)</f>
        <v>1404245842</v>
      </c>
      <c r="D4030">
        <v>0</v>
      </c>
    </row>
    <row r="4031" spans="1:4" hidden="1" x14ac:dyDescent="0.25">
      <c r="A4031" t="s">
        <v>657</v>
      </c>
      <c r="B4031" t="s">
        <v>82</v>
      </c>
      <c r="C4031" s="2">
        <f>HYPERLINK("https://sao.dolgi.msk.ru/account/1404244604/", 1404244604)</f>
        <v>1404244604</v>
      </c>
      <c r="D4031">
        <v>-2743.08</v>
      </c>
    </row>
    <row r="4032" spans="1:4" x14ac:dyDescent="0.25">
      <c r="A4032" t="s">
        <v>657</v>
      </c>
      <c r="B4032" t="s">
        <v>83</v>
      </c>
      <c r="C4032" s="2">
        <f>HYPERLINK("https://sao.dolgi.msk.ru/account/1404244612/", 1404244612)</f>
        <v>1404244612</v>
      </c>
      <c r="D4032">
        <v>20511.38</v>
      </c>
    </row>
    <row r="4033" spans="1:4" hidden="1" x14ac:dyDescent="0.25">
      <c r="A4033" t="s">
        <v>657</v>
      </c>
      <c r="B4033" t="s">
        <v>84</v>
      </c>
      <c r="C4033" s="2">
        <f>HYPERLINK("https://sao.dolgi.msk.ru/account/1404244313/", 1404244313)</f>
        <v>1404244313</v>
      </c>
      <c r="D4033">
        <v>0</v>
      </c>
    </row>
    <row r="4034" spans="1:4" hidden="1" x14ac:dyDescent="0.25">
      <c r="A4034" t="s">
        <v>657</v>
      </c>
      <c r="B4034" t="s">
        <v>85</v>
      </c>
      <c r="C4034" s="2">
        <f>HYPERLINK("https://sao.dolgi.msk.ru/account/1404245498/", 1404245498)</f>
        <v>1404245498</v>
      </c>
      <c r="D4034">
        <v>-11617.05</v>
      </c>
    </row>
    <row r="4035" spans="1:4" hidden="1" x14ac:dyDescent="0.25">
      <c r="A4035" t="s">
        <v>657</v>
      </c>
      <c r="B4035" t="s">
        <v>86</v>
      </c>
      <c r="C4035" s="2">
        <f>HYPERLINK("https://sao.dolgi.msk.ru/account/1404243644/", 1404243644)</f>
        <v>1404243644</v>
      </c>
      <c r="D4035">
        <v>-4432.8900000000003</v>
      </c>
    </row>
    <row r="4036" spans="1:4" hidden="1" x14ac:dyDescent="0.25">
      <c r="A4036" t="s">
        <v>657</v>
      </c>
      <c r="B4036" t="s">
        <v>87</v>
      </c>
      <c r="C4036" s="2">
        <f>HYPERLINK("https://sao.dolgi.msk.ru/account/1404244639/", 1404244639)</f>
        <v>1404244639</v>
      </c>
      <c r="D4036">
        <v>-3934.63</v>
      </c>
    </row>
    <row r="4037" spans="1:4" hidden="1" x14ac:dyDescent="0.25">
      <c r="A4037" t="s">
        <v>657</v>
      </c>
      <c r="B4037" t="s">
        <v>88</v>
      </c>
      <c r="C4037" s="2">
        <f>HYPERLINK("https://sao.dolgi.msk.ru/account/1404244022/", 1404244022)</f>
        <v>1404244022</v>
      </c>
      <c r="D4037">
        <v>-11281.7</v>
      </c>
    </row>
    <row r="4038" spans="1:4" hidden="1" x14ac:dyDescent="0.25">
      <c r="A4038" t="s">
        <v>657</v>
      </c>
      <c r="B4038" t="s">
        <v>89</v>
      </c>
      <c r="C4038" s="2">
        <f>HYPERLINK("https://sao.dolgi.msk.ru/account/1404244954/", 1404244954)</f>
        <v>1404244954</v>
      </c>
      <c r="D4038">
        <v>-7745.84</v>
      </c>
    </row>
    <row r="4039" spans="1:4" hidden="1" x14ac:dyDescent="0.25">
      <c r="A4039" t="s">
        <v>657</v>
      </c>
      <c r="B4039" t="s">
        <v>90</v>
      </c>
      <c r="C4039" s="2">
        <f>HYPERLINK("https://sao.dolgi.msk.ru/account/1404244962/", 1404244962)</f>
        <v>1404244962</v>
      </c>
      <c r="D4039">
        <v>-6908.22</v>
      </c>
    </row>
    <row r="4040" spans="1:4" hidden="1" x14ac:dyDescent="0.25">
      <c r="A4040" t="s">
        <v>657</v>
      </c>
      <c r="B4040" t="s">
        <v>91</v>
      </c>
      <c r="C4040" s="2">
        <f>HYPERLINK("https://sao.dolgi.msk.ru/account/1404243679/", 1404243679)</f>
        <v>1404243679</v>
      </c>
      <c r="D4040">
        <v>-6651.78</v>
      </c>
    </row>
    <row r="4041" spans="1:4" hidden="1" x14ac:dyDescent="0.25">
      <c r="A4041" t="s">
        <v>657</v>
      </c>
      <c r="B4041" t="s">
        <v>92</v>
      </c>
      <c r="C4041" s="2">
        <f>HYPERLINK("https://sao.dolgi.msk.ru/account/1404244065/", 1404244065)</f>
        <v>1404244065</v>
      </c>
      <c r="D4041">
        <v>-5048.1899999999996</v>
      </c>
    </row>
    <row r="4042" spans="1:4" hidden="1" x14ac:dyDescent="0.25">
      <c r="A4042" t="s">
        <v>657</v>
      </c>
      <c r="B4042" t="s">
        <v>93</v>
      </c>
      <c r="C4042" s="2">
        <f>HYPERLINK("https://sao.dolgi.msk.ru/account/1404244073/", 1404244073)</f>
        <v>1404244073</v>
      </c>
      <c r="D4042">
        <v>0</v>
      </c>
    </row>
    <row r="4043" spans="1:4" hidden="1" x14ac:dyDescent="0.25">
      <c r="A4043" t="s">
        <v>657</v>
      </c>
      <c r="B4043" t="s">
        <v>94</v>
      </c>
      <c r="C4043" s="2">
        <f>HYPERLINK("https://sao.dolgi.msk.ru/account/1404244356/", 1404244356)</f>
        <v>1404244356</v>
      </c>
      <c r="D4043">
        <v>-5838.49</v>
      </c>
    </row>
    <row r="4044" spans="1:4" hidden="1" x14ac:dyDescent="0.25">
      <c r="A4044" t="s">
        <v>657</v>
      </c>
      <c r="B4044" t="s">
        <v>95</v>
      </c>
      <c r="C4044" s="2">
        <f>HYPERLINK("https://sao.dolgi.msk.ru/account/1404245543/", 1404245543)</f>
        <v>1404245543</v>
      </c>
      <c r="D4044">
        <v>0</v>
      </c>
    </row>
    <row r="4045" spans="1:4" hidden="1" x14ac:dyDescent="0.25">
      <c r="A4045" t="s">
        <v>657</v>
      </c>
      <c r="B4045" t="s">
        <v>96</v>
      </c>
      <c r="C4045" s="2">
        <f>HYPERLINK("https://sao.dolgi.msk.ru/account/1404244655/", 1404244655)</f>
        <v>1404244655</v>
      </c>
      <c r="D4045">
        <v>-7944.34</v>
      </c>
    </row>
    <row r="4046" spans="1:4" x14ac:dyDescent="0.25">
      <c r="A4046" t="s">
        <v>657</v>
      </c>
      <c r="B4046" t="s">
        <v>97</v>
      </c>
      <c r="C4046" s="2">
        <f>HYPERLINK("https://sao.dolgi.msk.ru/account/1404245287/", 1404245287)</f>
        <v>1404245287</v>
      </c>
      <c r="D4046">
        <v>6658.14</v>
      </c>
    </row>
    <row r="4047" spans="1:4" hidden="1" x14ac:dyDescent="0.25">
      <c r="A4047" t="s">
        <v>657</v>
      </c>
      <c r="B4047" t="s">
        <v>98</v>
      </c>
      <c r="C4047" s="2">
        <f>HYPERLINK("https://sao.dolgi.msk.ru/account/1404245885/", 1404245885)</f>
        <v>1404245885</v>
      </c>
      <c r="D4047">
        <v>-12812.61</v>
      </c>
    </row>
    <row r="4048" spans="1:4" hidden="1" x14ac:dyDescent="0.25">
      <c r="A4048" t="s">
        <v>657</v>
      </c>
      <c r="B4048" t="s">
        <v>99</v>
      </c>
      <c r="C4048" s="2">
        <f>HYPERLINK("https://sao.dolgi.msk.ru/account/1404245295/", 1404245295)</f>
        <v>1404245295</v>
      </c>
      <c r="D4048">
        <v>-5986.05</v>
      </c>
    </row>
    <row r="4049" spans="1:4" x14ac:dyDescent="0.25">
      <c r="A4049" t="s">
        <v>657</v>
      </c>
      <c r="B4049" t="s">
        <v>100</v>
      </c>
      <c r="C4049" s="2">
        <f>HYPERLINK("https://sao.dolgi.msk.ru/account/1404245893/", 1404245893)</f>
        <v>1404245893</v>
      </c>
      <c r="D4049">
        <v>231.05</v>
      </c>
    </row>
    <row r="4050" spans="1:4" hidden="1" x14ac:dyDescent="0.25">
      <c r="A4050" t="s">
        <v>657</v>
      </c>
      <c r="B4050" t="s">
        <v>101</v>
      </c>
      <c r="C4050" s="2">
        <f>HYPERLINK("https://sao.dolgi.msk.ru/account/1404243687/", 1404243687)</f>
        <v>1404243687</v>
      </c>
      <c r="D4050">
        <v>0</v>
      </c>
    </row>
    <row r="4051" spans="1:4" hidden="1" x14ac:dyDescent="0.25">
      <c r="A4051" t="s">
        <v>657</v>
      </c>
      <c r="B4051" t="s">
        <v>102</v>
      </c>
      <c r="C4051" s="2">
        <f>HYPERLINK("https://sao.dolgi.msk.ru/account/1404245906/", 1404245906)</f>
        <v>1404245906</v>
      </c>
      <c r="D4051">
        <v>-5847.09</v>
      </c>
    </row>
    <row r="4052" spans="1:4" hidden="1" x14ac:dyDescent="0.25">
      <c r="A4052" t="s">
        <v>657</v>
      </c>
      <c r="B4052" t="s">
        <v>103</v>
      </c>
      <c r="C4052" s="2">
        <f>HYPERLINK("https://sao.dolgi.msk.ru/account/1404244663/", 1404244663)</f>
        <v>1404244663</v>
      </c>
      <c r="D4052">
        <v>0</v>
      </c>
    </row>
    <row r="4053" spans="1:4" x14ac:dyDescent="0.25">
      <c r="A4053" t="s">
        <v>657</v>
      </c>
      <c r="B4053" t="s">
        <v>104</v>
      </c>
      <c r="C4053" s="2">
        <f>HYPERLINK("https://sao.dolgi.msk.ru/account/1404244452/", 1404244452)</f>
        <v>1404244452</v>
      </c>
      <c r="D4053">
        <v>6909.04</v>
      </c>
    </row>
    <row r="4054" spans="1:4" hidden="1" x14ac:dyDescent="0.25">
      <c r="A4054" t="s">
        <v>657</v>
      </c>
      <c r="B4054" t="s">
        <v>105</v>
      </c>
      <c r="C4054" s="2">
        <f>HYPERLINK("https://sao.dolgi.msk.ru/account/1404244196/", 1404244196)</f>
        <v>1404244196</v>
      </c>
      <c r="D4054">
        <v>0</v>
      </c>
    </row>
    <row r="4055" spans="1:4" hidden="1" x14ac:dyDescent="0.25">
      <c r="A4055" t="s">
        <v>657</v>
      </c>
      <c r="B4055" t="s">
        <v>106</v>
      </c>
      <c r="C4055" s="2">
        <f>HYPERLINK("https://sao.dolgi.msk.ru/account/1404245383/", 1404245383)</f>
        <v>1404245383</v>
      </c>
      <c r="D4055">
        <v>-2903.09</v>
      </c>
    </row>
    <row r="4056" spans="1:4" hidden="1" x14ac:dyDescent="0.25">
      <c r="A4056" t="s">
        <v>657</v>
      </c>
      <c r="B4056" t="s">
        <v>107</v>
      </c>
      <c r="C4056" s="2">
        <f>HYPERLINK("https://sao.dolgi.msk.ru/account/1404243484/", 1404243484)</f>
        <v>1404243484</v>
      </c>
      <c r="D4056">
        <v>-8097.99</v>
      </c>
    </row>
    <row r="4057" spans="1:4" hidden="1" x14ac:dyDescent="0.25">
      <c r="A4057" t="s">
        <v>657</v>
      </c>
      <c r="B4057" t="s">
        <v>108</v>
      </c>
      <c r="C4057" s="2">
        <f>HYPERLINK("https://sao.dolgi.msk.ru/account/1404245703/", 1404245703)</f>
        <v>1404245703</v>
      </c>
      <c r="D4057">
        <v>-8768.76</v>
      </c>
    </row>
    <row r="4058" spans="1:4" hidden="1" x14ac:dyDescent="0.25">
      <c r="A4058" t="s">
        <v>657</v>
      </c>
      <c r="B4058" t="s">
        <v>109</v>
      </c>
      <c r="C4058" s="2">
        <f>HYPERLINK("https://sao.dolgi.msk.ru/account/1404243804/", 1404243804)</f>
        <v>1404243804</v>
      </c>
      <c r="D4058">
        <v>-7138.9</v>
      </c>
    </row>
    <row r="4059" spans="1:4" hidden="1" x14ac:dyDescent="0.25">
      <c r="A4059" t="s">
        <v>657</v>
      </c>
      <c r="B4059" t="s">
        <v>110</v>
      </c>
      <c r="C4059" s="2">
        <f>HYPERLINK("https://sao.dolgi.msk.ru/account/1404245711/", 1404245711)</f>
        <v>1404245711</v>
      </c>
      <c r="D4059">
        <v>-2369.1799999999998</v>
      </c>
    </row>
    <row r="4060" spans="1:4" x14ac:dyDescent="0.25">
      <c r="A4060" t="s">
        <v>657</v>
      </c>
      <c r="B4060" t="s">
        <v>111</v>
      </c>
      <c r="C4060" s="2">
        <f>HYPERLINK("https://sao.dolgi.msk.ru/account/1404243812/", 1404243812)</f>
        <v>1404243812</v>
      </c>
      <c r="D4060">
        <v>19010.990000000002</v>
      </c>
    </row>
    <row r="4061" spans="1:4" hidden="1" x14ac:dyDescent="0.25">
      <c r="A4061" t="s">
        <v>657</v>
      </c>
      <c r="B4061" t="s">
        <v>112</v>
      </c>
      <c r="C4061" s="2">
        <f>HYPERLINK("https://sao.dolgi.msk.ru/account/1404245105/", 1404245105)</f>
        <v>1404245105</v>
      </c>
      <c r="D4061">
        <v>-8169.22</v>
      </c>
    </row>
    <row r="4062" spans="1:4" hidden="1" x14ac:dyDescent="0.25">
      <c r="A4062" t="s">
        <v>657</v>
      </c>
      <c r="B4062" t="s">
        <v>113</v>
      </c>
      <c r="C4062" s="2">
        <f>HYPERLINK("https://sao.dolgi.msk.ru/account/1404245391/", 1404245391)</f>
        <v>1404245391</v>
      </c>
      <c r="D4062">
        <v>-5018</v>
      </c>
    </row>
    <row r="4063" spans="1:4" hidden="1" x14ac:dyDescent="0.25">
      <c r="A4063" t="s">
        <v>657</v>
      </c>
      <c r="B4063" t="s">
        <v>114</v>
      </c>
      <c r="C4063" s="2">
        <f>HYPERLINK("https://sao.dolgi.msk.ru/account/1404244209/", 1404244209)</f>
        <v>1404244209</v>
      </c>
      <c r="D4063">
        <v>-5464.46</v>
      </c>
    </row>
    <row r="4064" spans="1:4" hidden="1" x14ac:dyDescent="0.25">
      <c r="A4064" t="s">
        <v>657</v>
      </c>
      <c r="B4064" t="s">
        <v>115</v>
      </c>
      <c r="C4064" s="2">
        <f>HYPERLINK("https://sao.dolgi.msk.ru/account/1404244479/", 1404244479)</f>
        <v>1404244479</v>
      </c>
      <c r="D4064">
        <v>-2600.9299999999998</v>
      </c>
    </row>
    <row r="4065" spans="1:4" hidden="1" x14ac:dyDescent="0.25">
      <c r="A4065" t="s">
        <v>657</v>
      </c>
      <c r="B4065" t="s">
        <v>116</v>
      </c>
      <c r="C4065" s="2">
        <f>HYPERLINK("https://sao.dolgi.msk.ru/account/1404244823/", 1404244823)</f>
        <v>1404244823</v>
      </c>
      <c r="D4065">
        <v>-7756.58</v>
      </c>
    </row>
    <row r="4066" spans="1:4" hidden="1" x14ac:dyDescent="0.25">
      <c r="A4066" t="s">
        <v>657</v>
      </c>
      <c r="B4066" t="s">
        <v>117</v>
      </c>
      <c r="C4066" s="2">
        <f>HYPERLINK("https://sao.dolgi.msk.ru/account/1404245121/", 1404245121)</f>
        <v>1404245121</v>
      </c>
      <c r="D4066">
        <v>0</v>
      </c>
    </row>
    <row r="4067" spans="1:4" hidden="1" x14ac:dyDescent="0.25">
      <c r="A4067" t="s">
        <v>657</v>
      </c>
      <c r="B4067" t="s">
        <v>118</v>
      </c>
      <c r="C4067" s="2">
        <f>HYPERLINK("https://sao.dolgi.msk.ru/account/1404244217/", 1404244217)</f>
        <v>1404244217</v>
      </c>
      <c r="D4067">
        <v>-3500.62</v>
      </c>
    </row>
    <row r="4068" spans="1:4" hidden="1" x14ac:dyDescent="0.25">
      <c r="A4068" t="s">
        <v>657</v>
      </c>
      <c r="B4068" t="s">
        <v>119</v>
      </c>
      <c r="C4068" s="2">
        <f>HYPERLINK("https://sao.dolgi.msk.ru/account/1404244831/", 1404244831)</f>
        <v>1404244831</v>
      </c>
      <c r="D4068">
        <v>-6098.18</v>
      </c>
    </row>
    <row r="4069" spans="1:4" hidden="1" x14ac:dyDescent="0.25">
      <c r="A4069" t="s">
        <v>657</v>
      </c>
      <c r="B4069" t="s">
        <v>120</v>
      </c>
      <c r="C4069" s="2">
        <f>HYPERLINK("https://sao.dolgi.msk.ru/account/1404245738/", 1404245738)</f>
        <v>1404245738</v>
      </c>
      <c r="D4069">
        <v>-8909.56</v>
      </c>
    </row>
    <row r="4070" spans="1:4" hidden="1" x14ac:dyDescent="0.25">
      <c r="A4070" t="s">
        <v>657</v>
      </c>
      <c r="B4070" t="s">
        <v>121</v>
      </c>
      <c r="C4070" s="2">
        <f>HYPERLINK("https://sao.dolgi.msk.ru/account/1404244225/", 1404244225)</f>
        <v>1404244225</v>
      </c>
      <c r="D4070">
        <v>-10016.129999999999</v>
      </c>
    </row>
    <row r="4071" spans="1:4" hidden="1" x14ac:dyDescent="0.25">
      <c r="A4071" t="s">
        <v>657</v>
      </c>
      <c r="B4071" t="s">
        <v>122</v>
      </c>
      <c r="C4071" s="2">
        <f>HYPERLINK("https://sao.dolgi.msk.ru/account/1404243521/", 1404243521)</f>
        <v>1404243521</v>
      </c>
      <c r="D4071">
        <v>-6011.13</v>
      </c>
    </row>
    <row r="4072" spans="1:4" hidden="1" x14ac:dyDescent="0.25">
      <c r="A4072" t="s">
        <v>657</v>
      </c>
      <c r="B4072" t="s">
        <v>123</v>
      </c>
      <c r="C4072" s="2">
        <f>HYPERLINK("https://sao.dolgi.msk.ru/account/1404245455/", 1404245455)</f>
        <v>1404245455</v>
      </c>
      <c r="D4072">
        <v>-3397.58</v>
      </c>
    </row>
    <row r="4073" spans="1:4" hidden="1" x14ac:dyDescent="0.25">
      <c r="A4073" t="s">
        <v>657</v>
      </c>
      <c r="B4073" t="s">
        <v>124</v>
      </c>
      <c r="C4073" s="2">
        <f>HYPERLINK("https://sao.dolgi.msk.ru/account/1404245172/", 1404245172)</f>
        <v>1404245172</v>
      </c>
      <c r="D4073">
        <v>-8542.27</v>
      </c>
    </row>
    <row r="4074" spans="1:4" x14ac:dyDescent="0.25">
      <c r="A4074" t="s">
        <v>657</v>
      </c>
      <c r="B4074" t="s">
        <v>125</v>
      </c>
      <c r="C4074" s="2">
        <f>HYPERLINK("https://sao.dolgi.msk.ru/account/1404243863/", 1404243863)</f>
        <v>1404243863</v>
      </c>
      <c r="D4074">
        <v>34911.85</v>
      </c>
    </row>
    <row r="4075" spans="1:4" hidden="1" x14ac:dyDescent="0.25">
      <c r="A4075" t="s">
        <v>657</v>
      </c>
      <c r="B4075" t="s">
        <v>126</v>
      </c>
      <c r="C4075" s="2">
        <f>HYPERLINK("https://sao.dolgi.msk.ru/account/1404243871/", 1404243871)</f>
        <v>1404243871</v>
      </c>
      <c r="D4075">
        <v>0</v>
      </c>
    </row>
    <row r="4076" spans="1:4" hidden="1" x14ac:dyDescent="0.25">
      <c r="A4076" t="s">
        <v>657</v>
      </c>
      <c r="B4076" t="s">
        <v>127</v>
      </c>
      <c r="C4076" s="2">
        <f>HYPERLINK("https://sao.dolgi.msk.ru/account/1404243898/", 1404243898)</f>
        <v>1404243898</v>
      </c>
      <c r="D4076">
        <v>-5299.83</v>
      </c>
    </row>
    <row r="4077" spans="1:4" hidden="1" x14ac:dyDescent="0.25">
      <c r="A4077" t="s">
        <v>657</v>
      </c>
      <c r="B4077" t="s">
        <v>128</v>
      </c>
      <c r="C4077" s="2">
        <f>HYPERLINK("https://sao.dolgi.msk.ru/account/1404243548/", 1404243548)</f>
        <v>1404243548</v>
      </c>
      <c r="D4077">
        <v>0</v>
      </c>
    </row>
    <row r="4078" spans="1:4" x14ac:dyDescent="0.25">
      <c r="A4078" t="s">
        <v>657</v>
      </c>
      <c r="B4078" t="s">
        <v>129</v>
      </c>
      <c r="C4078" s="2">
        <f>HYPERLINK("https://sao.dolgi.msk.ru/account/1404244508/", 1404244508)</f>
        <v>1404244508</v>
      </c>
      <c r="D4078">
        <v>30378.240000000002</v>
      </c>
    </row>
    <row r="4079" spans="1:4" x14ac:dyDescent="0.25">
      <c r="A4079" t="s">
        <v>657</v>
      </c>
      <c r="B4079" t="s">
        <v>130</v>
      </c>
      <c r="C4079" s="2">
        <f>HYPERLINK("https://sao.dolgi.msk.ru/account/1404245199/", 1404245199)</f>
        <v>1404245199</v>
      </c>
      <c r="D4079">
        <v>46792.2</v>
      </c>
    </row>
    <row r="4080" spans="1:4" x14ac:dyDescent="0.25">
      <c r="A4080" t="s">
        <v>657</v>
      </c>
      <c r="B4080" t="s">
        <v>131</v>
      </c>
      <c r="C4080" s="2">
        <f>HYPERLINK("https://sao.dolgi.msk.ru/account/1404244276/", 1404244276)</f>
        <v>1404244276</v>
      </c>
      <c r="D4080">
        <v>7124.04</v>
      </c>
    </row>
    <row r="4081" spans="1:4" hidden="1" x14ac:dyDescent="0.25">
      <c r="A4081" t="s">
        <v>657</v>
      </c>
      <c r="B4081" t="s">
        <v>132</v>
      </c>
      <c r="C4081" s="2">
        <f>HYPERLINK("https://sao.dolgi.msk.ru/account/1404245201/", 1404245201)</f>
        <v>1404245201</v>
      </c>
      <c r="D4081">
        <v>-8731.77</v>
      </c>
    </row>
    <row r="4082" spans="1:4" x14ac:dyDescent="0.25">
      <c r="A4082" t="s">
        <v>657</v>
      </c>
      <c r="B4082" t="s">
        <v>133</v>
      </c>
      <c r="C4082" s="2">
        <f>HYPERLINK("https://sao.dolgi.msk.ru/account/1404244516/", 1404244516)</f>
        <v>1404244516</v>
      </c>
      <c r="D4082">
        <v>17768.04</v>
      </c>
    </row>
    <row r="4083" spans="1:4" hidden="1" x14ac:dyDescent="0.25">
      <c r="A4083" t="s">
        <v>657</v>
      </c>
      <c r="B4083" t="s">
        <v>134</v>
      </c>
      <c r="C4083" s="2">
        <f>HYPERLINK("https://sao.dolgi.msk.ru/account/1404244524/", 1404244524)</f>
        <v>1404244524</v>
      </c>
      <c r="D4083">
        <v>-7343.21</v>
      </c>
    </row>
    <row r="4084" spans="1:4" hidden="1" x14ac:dyDescent="0.25">
      <c r="A4084" t="s">
        <v>657</v>
      </c>
      <c r="B4084" t="s">
        <v>135</v>
      </c>
      <c r="C4084" s="2">
        <f>HYPERLINK("https://sao.dolgi.msk.ru/account/1404245762/", 1404245762)</f>
        <v>1404245762</v>
      </c>
      <c r="D4084">
        <v>-11381.64</v>
      </c>
    </row>
    <row r="4085" spans="1:4" hidden="1" x14ac:dyDescent="0.25">
      <c r="A4085" t="s">
        <v>657</v>
      </c>
      <c r="B4085" t="s">
        <v>136</v>
      </c>
      <c r="C4085" s="2">
        <f>HYPERLINK("https://sao.dolgi.msk.ru/account/1404243919/", 1404243919)</f>
        <v>1404243919</v>
      </c>
      <c r="D4085">
        <v>-7629.57</v>
      </c>
    </row>
    <row r="4086" spans="1:4" hidden="1" x14ac:dyDescent="0.25">
      <c r="A4086" t="s">
        <v>657</v>
      </c>
      <c r="B4086" t="s">
        <v>137</v>
      </c>
      <c r="C4086" s="2">
        <f>HYPERLINK("https://sao.dolgi.msk.ru/account/1404243927/", 1404243927)</f>
        <v>1404243927</v>
      </c>
      <c r="D4086">
        <v>-5219.07</v>
      </c>
    </row>
    <row r="4087" spans="1:4" x14ac:dyDescent="0.25">
      <c r="A4087" t="s">
        <v>657</v>
      </c>
      <c r="B4087" t="s">
        <v>138</v>
      </c>
      <c r="C4087" s="2">
        <f>HYPERLINK("https://sao.dolgi.msk.ru/account/1404245228/", 1404245228)</f>
        <v>1404245228</v>
      </c>
      <c r="D4087">
        <v>5056.03</v>
      </c>
    </row>
    <row r="4088" spans="1:4" x14ac:dyDescent="0.25">
      <c r="A4088" t="s">
        <v>657</v>
      </c>
      <c r="B4088" t="s">
        <v>139</v>
      </c>
      <c r="C4088" s="2">
        <f>HYPERLINK("https://sao.dolgi.msk.ru/account/1404245463/", 1404245463)</f>
        <v>1404245463</v>
      </c>
      <c r="D4088">
        <v>1724.84</v>
      </c>
    </row>
    <row r="4089" spans="1:4" hidden="1" x14ac:dyDescent="0.25">
      <c r="A4089" t="s">
        <v>657</v>
      </c>
      <c r="B4089" t="s">
        <v>140</v>
      </c>
      <c r="C4089" s="2">
        <f>HYPERLINK("https://sao.dolgi.msk.ru/account/1404243564/", 1404243564)</f>
        <v>1404243564</v>
      </c>
      <c r="D4089">
        <v>-4404.72</v>
      </c>
    </row>
    <row r="4090" spans="1:4" hidden="1" x14ac:dyDescent="0.25">
      <c r="A4090" t="s">
        <v>657</v>
      </c>
      <c r="B4090" t="s">
        <v>140</v>
      </c>
      <c r="C4090" s="2">
        <f>HYPERLINK("https://sao.dolgi.msk.ru/account/1404243636/", 1404243636)</f>
        <v>1404243636</v>
      </c>
      <c r="D4090">
        <v>0</v>
      </c>
    </row>
    <row r="4091" spans="1:4" hidden="1" x14ac:dyDescent="0.25">
      <c r="A4091" t="s">
        <v>657</v>
      </c>
      <c r="B4091" t="s">
        <v>141</v>
      </c>
      <c r="C4091" s="2">
        <f>HYPERLINK("https://sao.dolgi.msk.ru/account/1404243935/", 1404243935)</f>
        <v>1404243935</v>
      </c>
      <c r="D4091">
        <v>-8939.8700000000008</v>
      </c>
    </row>
    <row r="4092" spans="1:4" hidden="1" x14ac:dyDescent="0.25">
      <c r="A4092" t="s">
        <v>657</v>
      </c>
      <c r="B4092" t="s">
        <v>142</v>
      </c>
      <c r="C4092" s="2">
        <f>HYPERLINK("https://sao.dolgi.msk.ru/account/1404245236/", 1404245236)</f>
        <v>1404245236</v>
      </c>
      <c r="D4092">
        <v>-6005.36</v>
      </c>
    </row>
    <row r="4093" spans="1:4" x14ac:dyDescent="0.25">
      <c r="A4093" t="s">
        <v>657</v>
      </c>
      <c r="B4093" t="s">
        <v>143</v>
      </c>
      <c r="C4093" s="2">
        <f>HYPERLINK("https://sao.dolgi.msk.ru/account/1404243505/", 1404243505)</f>
        <v>1404243505</v>
      </c>
      <c r="D4093">
        <v>35454.949999999997</v>
      </c>
    </row>
    <row r="4094" spans="1:4" hidden="1" x14ac:dyDescent="0.25">
      <c r="A4094" t="s">
        <v>657</v>
      </c>
      <c r="B4094" t="s">
        <v>144</v>
      </c>
      <c r="C4094" s="2">
        <f>HYPERLINK("https://sao.dolgi.msk.ru/account/1404243492/", 1404243492)</f>
        <v>1404243492</v>
      </c>
      <c r="D4094">
        <v>-15334.23</v>
      </c>
    </row>
    <row r="4095" spans="1:4" hidden="1" x14ac:dyDescent="0.25">
      <c r="A4095" t="s">
        <v>657</v>
      </c>
      <c r="B4095" t="s">
        <v>145</v>
      </c>
      <c r="C4095" s="2">
        <f>HYPERLINK("https://sao.dolgi.msk.ru/account/1404244233/", 1404244233)</f>
        <v>1404244233</v>
      </c>
      <c r="D4095">
        <v>-6202.36</v>
      </c>
    </row>
    <row r="4096" spans="1:4" hidden="1" x14ac:dyDescent="0.25">
      <c r="A4096" t="s">
        <v>657</v>
      </c>
      <c r="B4096" t="s">
        <v>146</v>
      </c>
      <c r="C4096" s="2">
        <f>HYPERLINK("https://sao.dolgi.msk.ru/account/1404244241/", 1404244241)</f>
        <v>1404244241</v>
      </c>
      <c r="D4096">
        <v>0</v>
      </c>
    </row>
    <row r="4097" spans="1:4" x14ac:dyDescent="0.25">
      <c r="A4097" t="s">
        <v>657</v>
      </c>
      <c r="B4097" t="s">
        <v>147</v>
      </c>
      <c r="C4097" s="2">
        <f>HYPERLINK("https://sao.dolgi.msk.ru/account/1404245447/", 1404245447)</f>
        <v>1404245447</v>
      </c>
      <c r="D4097">
        <v>6873.94</v>
      </c>
    </row>
    <row r="4098" spans="1:4" hidden="1" x14ac:dyDescent="0.25">
      <c r="A4098" t="s">
        <v>657</v>
      </c>
      <c r="B4098" t="s">
        <v>148</v>
      </c>
      <c r="C4098" s="2">
        <f>HYPERLINK("https://sao.dolgi.msk.ru/account/1404243839/", 1404243839)</f>
        <v>1404243839</v>
      </c>
      <c r="D4098">
        <v>-7695.53</v>
      </c>
    </row>
    <row r="4099" spans="1:4" x14ac:dyDescent="0.25">
      <c r="A4099" t="s">
        <v>657</v>
      </c>
      <c r="B4099" t="s">
        <v>149</v>
      </c>
      <c r="C4099" s="2">
        <f>HYPERLINK("https://sao.dolgi.msk.ru/account/1404244532/", 1404244532)</f>
        <v>1404244532</v>
      </c>
      <c r="D4099">
        <v>18009.810000000001</v>
      </c>
    </row>
    <row r="4100" spans="1:4" x14ac:dyDescent="0.25">
      <c r="A4100" t="s">
        <v>657</v>
      </c>
      <c r="B4100" t="s">
        <v>149</v>
      </c>
      <c r="C4100" s="2">
        <f>HYPERLINK("https://sao.dolgi.msk.ru/account/1404245148/", 1404245148)</f>
        <v>1404245148</v>
      </c>
      <c r="D4100">
        <v>36110.14</v>
      </c>
    </row>
    <row r="4101" spans="1:4" x14ac:dyDescent="0.25">
      <c r="A4101" t="s">
        <v>657</v>
      </c>
      <c r="B4101" t="s">
        <v>150</v>
      </c>
      <c r="C4101" s="2">
        <f>HYPERLINK("https://sao.dolgi.msk.ru/account/1404244858/", 1404244858)</f>
        <v>1404244858</v>
      </c>
      <c r="D4101">
        <v>9903.7000000000007</v>
      </c>
    </row>
    <row r="4102" spans="1:4" hidden="1" x14ac:dyDescent="0.25">
      <c r="A4102" t="s">
        <v>657</v>
      </c>
      <c r="B4102" t="s">
        <v>151</v>
      </c>
      <c r="C4102" s="2">
        <f>HYPERLINK("https://sao.dolgi.msk.ru/account/1404244268/", 1404244268)</f>
        <v>1404244268</v>
      </c>
      <c r="D4102">
        <v>-4409.76</v>
      </c>
    </row>
    <row r="4103" spans="1:4" hidden="1" x14ac:dyDescent="0.25">
      <c r="A4103" t="s">
        <v>657</v>
      </c>
      <c r="B4103" t="s">
        <v>152</v>
      </c>
      <c r="C4103" s="2">
        <f>HYPERLINK("https://sao.dolgi.msk.ru/account/1404245156/", 1404245156)</f>
        <v>1404245156</v>
      </c>
      <c r="D4103">
        <v>-8740.66</v>
      </c>
    </row>
    <row r="4104" spans="1:4" hidden="1" x14ac:dyDescent="0.25">
      <c r="A4104" t="s">
        <v>657</v>
      </c>
      <c r="B4104" t="s">
        <v>153</v>
      </c>
      <c r="C4104" s="2">
        <f>HYPERLINK("https://sao.dolgi.msk.ru/account/1404244487/", 1404244487)</f>
        <v>1404244487</v>
      </c>
      <c r="D4104">
        <v>-10286.61</v>
      </c>
    </row>
    <row r="4105" spans="1:4" hidden="1" x14ac:dyDescent="0.25">
      <c r="A4105" t="s">
        <v>657</v>
      </c>
      <c r="B4105" t="s">
        <v>154</v>
      </c>
      <c r="C4105" s="2">
        <f>HYPERLINK("https://sao.dolgi.msk.ru/account/1404243513/", 1404243513)</f>
        <v>1404243513</v>
      </c>
      <c r="D4105">
        <v>-5085.68</v>
      </c>
    </row>
    <row r="4106" spans="1:4" hidden="1" x14ac:dyDescent="0.25">
      <c r="A4106" t="s">
        <v>657</v>
      </c>
      <c r="B4106" t="s">
        <v>155</v>
      </c>
      <c r="C4106" s="2">
        <f>HYPERLINK("https://sao.dolgi.msk.ru/account/1404244866/", 1404244866)</f>
        <v>1404244866</v>
      </c>
      <c r="D4106">
        <v>-3487.78</v>
      </c>
    </row>
    <row r="4107" spans="1:4" x14ac:dyDescent="0.25">
      <c r="A4107" t="s">
        <v>657</v>
      </c>
      <c r="B4107" t="s">
        <v>156</v>
      </c>
      <c r="C4107" s="2">
        <f>HYPERLINK("https://sao.dolgi.msk.ru/account/1404243847/", 1404243847)</f>
        <v>1404243847</v>
      </c>
      <c r="D4107">
        <v>3273.79</v>
      </c>
    </row>
    <row r="4108" spans="1:4" hidden="1" x14ac:dyDescent="0.25">
      <c r="A4108" t="s">
        <v>657</v>
      </c>
      <c r="B4108" t="s">
        <v>157</v>
      </c>
      <c r="C4108" s="2">
        <f>HYPERLINK("https://sao.dolgi.msk.ru/account/1404243775/", 1404243775)</f>
        <v>1404243775</v>
      </c>
      <c r="D4108">
        <v>0</v>
      </c>
    </row>
    <row r="4109" spans="1:4" hidden="1" x14ac:dyDescent="0.25">
      <c r="A4109" t="s">
        <v>657</v>
      </c>
      <c r="B4109" t="s">
        <v>158</v>
      </c>
      <c r="C4109" s="2">
        <f>HYPERLINK("https://sao.dolgi.msk.ru/account/1404244436/", 1404244436)</f>
        <v>1404244436</v>
      </c>
      <c r="D4109">
        <v>-6138.79</v>
      </c>
    </row>
    <row r="4110" spans="1:4" x14ac:dyDescent="0.25">
      <c r="A4110" t="s">
        <v>657</v>
      </c>
      <c r="B4110" t="s">
        <v>159</v>
      </c>
      <c r="C4110" s="2">
        <f>HYPERLINK("https://sao.dolgi.msk.ru/account/1404244751/", 1404244751)</f>
        <v>1404244751</v>
      </c>
      <c r="D4110">
        <v>12605.18</v>
      </c>
    </row>
    <row r="4111" spans="1:4" x14ac:dyDescent="0.25">
      <c r="A4111" t="s">
        <v>657</v>
      </c>
      <c r="B4111" t="s">
        <v>160</v>
      </c>
      <c r="C4111" s="2">
        <f>HYPERLINK("https://sao.dolgi.msk.ru/account/1404244778/", 1404244778)</f>
        <v>1404244778</v>
      </c>
      <c r="D4111">
        <v>25276.54</v>
      </c>
    </row>
    <row r="4112" spans="1:4" hidden="1" x14ac:dyDescent="0.25">
      <c r="A4112" t="s">
        <v>657</v>
      </c>
      <c r="B4112" t="s">
        <v>161</v>
      </c>
      <c r="C4112" s="2">
        <f>HYPERLINK("https://sao.dolgi.msk.ru/account/1404245068/", 1404245068)</f>
        <v>1404245068</v>
      </c>
      <c r="D4112">
        <v>-6062.51</v>
      </c>
    </row>
    <row r="4113" spans="1:4" x14ac:dyDescent="0.25">
      <c r="A4113" t="s">
        <v>657</v>
      </c>
      <c r="B4113" t="s">
        <v>162</v>
      </c>
      <c r="C4113" s="2">
        <f>HYPERLINK("https://sao.dolgi.msk.ru/account/1404243986/", 1404243986)</f>
        <v>1404243986</v>
      </c>
      <c r="D4113">
        <v>952.36</v>
      </c>
    </row>
    <row r="4114" spans="1:4" x14ac:dyDescent="0.25">
      <c r="A4114" t="s">
        <v>657</v>
      </c>
      <c r="B4114" t="s">
        <v>162</v>
      </c>
      <c r="C4114" s="2">
        <f>HYPERLINK("https://sao.dolgi.msk.ru/account/1404245412/", 1404245412)</f>
        <v>1404245412</v>
      </c>
      <c r="D4114">
        <v>43882</v>
      </c>
    </row>
    <row r="4115" spans="1:4" hidden="1" x14ac:dyDescent="0.25">
      <c r="A4115" t="s">
        <v>657</v>
      </c>
      <c r="B4115" t="s">
        <v>163</v>
      </c>
      <c r="C4115" s="2">
        <f>HYPERLINK("https://sao.dolgi.msk.ru/account/1404243468/", 1404243468)</f>
        <v>1404243468</v>
      </c>
      <c r="D4115">
        <v>-7171.56</v>
      </c>
    </row>
    <row r="4116" spans="1:4" x14ac:dyDescent="0.25">
      <c r="A4116" t="s">
        <v>657</v>
      </c>
      <c r="B4116" t="s">
        <v>164</v>
      </c>
      <c r="C4116" s="2">
        <f>HYPERLINK("https://sao.dolgi.msk.ru/account/1404244444/", 1404244444)</f>
        <v>1404244444</v>
      </c>
      <c r="D4116">
        <v>6907.55</v>
      </c>
    </row>
    <row r="4117" spans="1:4" hidden="1" x14ac:dyDescent="0.25">
      <c r="A4117" t="s">
        <v>657</v>
      </c>
      <c r="B4117" t="s">
        <v>165</v>
      </c>
      <c r="C4117" s="2">
        <f>HYPERLINK("https://sao.dolgi.msk.ru/account/1404243783/", 1404243783)</f>
        <v>1404243783</v>
      </c>
      <c r="D4117">
        <v>-5753.17</v>
      </c>
    </row>
    <row r="4118" spans="1:4" hidden="1" x14ac:dyDescent="0.25">
      <c r="A4118" t="s">
        <v>657</v>
      </c>
      <c r="B4118" t="s">
        <v>166</v>
      </c>
      <c r="C4118" s="2">
        <f>HYPERLINK("https://sao.dolgi.msk.ru/account/1404244786/", 1404244786)</f>
        <v>1404244786</v>
      </c>
      <c r="D4118">
        <v>-6303.42</v>
      </c>
    </row>
    <row r="4119" spans="1:4" x14ac:dyDescent="0.25">
      <c r="A4119" t="s">
        <v>657</v>
      </c>
      <c r="B4119" t="s">
        <v>167</v>
      </c>
      <c r="C4119" s="2">
        <f>HYPERLINK("https://sao.dolgi.msk.ru/account/1404245076/", 1404245076)</f>
        <v>1404245076</v>
      </c>
      <c r="D4119">
        <v>3310.59</v>
      </c>
    </row>
    <row r="4120" spans="1:4" hidden="1" x14ac:dyDescent="0.25">
      <c r="A4120" t="s">
        <v>657</v>
      </c>
      <c r="B4120" t="s">
        <v>168</v>
      </c>
      <c r="C4120" s="2">
        <f>HYPERLINK("https://sao.dolgi.msk.ru/account/1404245682/", 1404245682)</f>
        <v>1404245682</v>
      </c>
      <c r="D4120">
        <v>0</v>
      </c>
    </row>
    <row r="4121" spans="1:4" hidden="1" x14ac:dyDescent="0.25">
      <c r="A4121" t="s">
        <v>657</v>
      </c>
      <c r="B4121" t="s">
        <v>169</v>
      </c>
      <c r="C4121" s="2">
        <f>HYPERLINK("https://sao.dolgi.msk.ru/account/1404244794/", 1404244794)</f>
        <v>1404244794</v>
      </c>
      <c r="D4121">
        <v>0</v>
      </c>
    </row>
    <row r="4122" spans="1:4" hidden="1" x14ac:dyDescent="0.25">
      <c r="A4122" t="s">
        <v>657</v>
      </c>
      <c r="B4122" t="s">
        <v>170</v>
      </c>
      <c r="C4122" s="2">
        <f>HYPERLINK("https://sao.dolgi.msk.ru/account/1404245084/", 1404245084)</f>
        <v>1404245084</v>
      </c>
      <c r="D4122">
        <v>-3362.02</v>
      </c>
    </row>
    <row r="4123" spans="1:4" hidden="1" x14ac:dyDescent="0.25">
      <c r="A4123" t="s">
        <v>657</v>
      </c>
      <c r="B4123" t="s">
        <v>171</v>
      </c>
      <c r="C4123" s="2">
        <f>HYPERLINK("https://sao.dolgi.msk.ru/account/1404244161/", 1404244161)</f>
        <v>1404244161</v>
      </c>
      <c r="D4123">
        <v>-3502.09</v>
      </c>
    </row>
    <row r="4124" spans="1:4" hidden="1" x14ac:dyDescent="0.25">
      <c r="A4124" t="s">
        <v>657</v>
      </c>
      <c r="B4124" t="s">
        <v>172</v>
      </c>
      <c r="C4124" s="2">
        <f>HYPERLINK("https://sao.dolgi.msk.ru/account/1404243791/", 1404243791)</f>
        <v>1404243791</v>
      </c>
      <c r="D4124">
        <v>-7632.93</v>
      </c>
    </row>
    <row r="4125" spans="1:4" x14ac:dyDescent="0.25">
      <c r="A4125" t="s">
        <v>657</v>
      </c>
      <c r="B4125" t="s">
        <v>173</v>
      </c>
      <c r="C4125" s="2">
        <f>HYPERLINK("https://sao.dolgi.msk.ru/account/1404244807/", 1404244807)</f>
        <v>1404244807</v>
      </c>
      <c r="D4125">
        <v>16667.509999999998</v>
      </c>
    </row>
    <row r="4126" spans="1:4" hidden="1" x14ac:dyDescent="0.25">
      <c r="A4126" t="s">
        <v>657</v>
      </c>
      <c r="B4126" t="s">
        <v>174</v>
      </c>
      <c r="C4126" s="2">
        <f>HYPERLINK("https://sao.dolgi.msk.ru/account/1404245092/", 1404245092)</f>
        <v>1404245092</v>
      </c>
      <c r="D4126">
        <v>-3587.82</v>
      </c>
    </row>
    <row r="4127" spans="1:4" x14ac:dyDescent="0.25">
      <c r="A4127" t="s">
        <v>657</v>
      </c>
      <c r="B4127" t="s">
        <v>175</v>
      </c>
      <c r="C4127" s="2">
        <f>HYPERLINK("https://sao.dolgi.msk.ru/account/1404243724/", 1404243724)</f>
        <v>1404243724</v>
      </c>
      <c r="D4127">
        <v>18356.61</v>
      </c>
    </row>
    <row r="4128" spans="1:4" hidden="1" x14ac:dyDescent="0.25">
      <c r="A4128" t="s">
        <v>657</v>
      </c>
      <c r="B4128" t="s">
        <v>176</v>
      </c>
      <c r="C4128" s="2">
        <f>HYPERLINK("https://sao.dolgi.msk.ru/account/1404245631/", 1404245631)</f>
        <v>1404245631</v>
      </c>
      <c r="D4128">
        <v>-4943.42</v>
      </c>
    </row>
    <row r="4129" spans="1:4" hidden="1" x14ac:dyDescent="0.25">
      <c r="A4129" t="s">
        <v>657</v>
      </c>
      <c r="B4129" t="s">
        <v>177</v>
      </c>
      <c r="C4129" s="2">
        <f>HYPERLINK("https://sao.dolgi.msk.ru/account/1404244129/", 1404244129)</f>
        <v>1404244129</v>
      </c>
      <c r="D4129">
        <v>0</v>
      </c>
    </row>
    <row r="4130" spans="1:4" hidden="1" x14ac:dyDescent="0.25">
      <c r="A4130" t="s">
        <v>657</v>
      </c>
      <c r="B4130" t="s">
        <v>178</v>
      </c>
      <c r="C4130" s="2">
        <f>HYPERLINK("https://sao.dolgi.msk.ru/account/1404245658/", 1404245658)</f>
        <v>1404245658</v>
      </c>
      <c r="D4130">
        <v>-4039.61</v>
      </c>
    </row>
    <row r="4131" spans="1:4" x14ac:dyDescent="0.25">
      <c r="A4131" t="s">
        <v>657</v>
      </c>
      <c r="B4131" t="s">
        <v>179</v>
      </c>
      <c r="C4131" s="2">
        <f>HYPERLINK("https://sao.dolgi.msk.ru/account/1404243441/", 1404243441)</f>
        <v>1404243441</v>
      </c>
      <c r="D4131">
        <v>5619.62</v>
      </c>
    </row>
    <row r="4132" spans="1:4" hidden="1" x14ac:dyDescent="0.25">
      <c r="A4132" t="s">
        <v>657</v>
      </c>
      <c r="B4132" t="s">
        <v>180</v>
      </c>
      <c r="C4132" s="2">
        <f>HYPERLINK("https://sao.dolgi.msk.ru/account/1404244137/", 1404244137)</f>
        <v>1404244137</v>
      </c>
      <c r="D4132">
        <v>0</v>
      </c>
    </row>
    <row r="4133" spans="1:4" hidden="1" x14ac:dyDescent="0.25">
      <c r="A4133" t="s">
        <v>657</v>
      </c>
      <c r="B4133" t="s">
        <v>181</v>
      </c>
      <c r="C4133" s="2">
        <f>HYPERLINK("https://sao.dolgi.msk.ru/account/1404244145/", 1404244145)</f>
        <v>1404244145</v>
      </c>
      <c r="D4133">
        <v>0</v>
      </c>
    </row>
    <row r="4134" spans="1:4" hidden="1" x14ac:dyDescent="0.25">
      <c r="A4134" t="s">
        <v>657</v>
      </c>
      <c r="B4134" t="s">
        <v>182</v>
      </c>
      <c r="C4134" s="2">
        <f>HYPERLINK("https://sao.dolgi.msk.ru/account/1404245375/", 1404245375)</f>
        <v>1404245375</v>
      </c>
      <c r="D4134">
        <v>-3811.98</v>
      </c>
    </row>
    <row r="4135" spans="1:4" hidden="1" x14ac:dyDescent="0.25">
      <c r="A4135" t="s">
        <v>657</v>
      </c>
      <c r="B4135" t="s">
        <v>183</v>
      </c>
      <c r="C4135" s="2">
        <f>HYPERLINK("https://sao.dolgi.msk.ru/account/1404245666/", 1404245666)</f>
        <v>1404245666</v>
      </c>
      <c r="D4135">
        <v>0</v>
      </c>
    </row>
    <row r="4136" spans="1:4" hidden="1" x14ac:dyDescent="0.25">
      <c r="A4136" t="s">
        <v>657</v>
      </c>
      <c r="B4136" t="s">
        <v>184</v>
      </c>
      <c r="C4136" s="2">
        <f>HYPERLINK("https://sao.dolgi.msk.ru/account/1404243732/", 1404243732)</f>
        <v>1404243732</v>
      </c>
      <c r="D4136">
        <v>-6216.24</v>
      </c>
    </row>
    <row r="4137" spans="1:4" hidden="1" x14ac:dyDescent="0.25">
      <c r="A4137" t="s">
        <v>657</v>
      </c>
      <c r="B4137" t="s">
        <v>185</v>
      </c>
      <c r="C4137" s="2">
        <f>HYPERLINK("https://sao.dolgi.msk.ru/account/1404244153/", 1404244153)</f>
        <v>1404244153</v>
      </c>
      <c r="D4137">
        <v>0</v>
      </c>
    </row>
    <row r="4138" spans="1:4" hidden="1" x14ac:dyDescent="0.25">
      <c r="A4138" t="s">
        <v>657</v>
      </c>
      <c r="B4138" t="s">
        <v>186</v>
      </c>
      <c r="C4138" s="2">
        <f>HYPERLINK("https://sao.dolgi.msk.ru/account/1404243759/", 1404243759)</f>
        <v>1404243759</v>
      </c>
      <c r="D4138">
        <v>-4299.33</v>
      </c>
    </row>
    <row r="4139" spans="1:4" hidden="1" x14ac:dyDescent="0.25">
      <c r="A4139" t="s">
        <v>657</v>
      </c>
      <c r="B4139" t="s">
        <v>187</v>
      </c>
      <c r="C4139" s="2">
        <f>HYPERLINK("https://sao.dolgi.msk.ru/account/1404243767/", 1404243767)</f>
        <v>1404243767</v>
      </c>
      <c r="D4139">
        <v>0</v>
      </c>
    </row>
    <row r="4140" spans="1:4" hidden="1" x14ac:dyDescent="0.25">
      <c r="A4140" t="s">
        <v>657</v>
      </c>
      <c r="B4140" t="s">
        <v>188</v>
      </c>
      <c r="C4140" s="2">
        <f>HYPERLINK("https://sao.dolgi.msk.ru/account/1404244372/", 1404244372)</f>
        <v>1404244372</v>
      </c>
      <c r="D4140">
        <v>-8523.33</v>
      </c>
    </row>
    <row r="4141" spans="1:4" hidden="1" x14ac:dyDescent="0.25">
      <c r="A4141" t="s">
        <v>657</v>
      </c>
      <c r="B4141" t="s">
        <v>189</v>
      </c>
      <c r="C4141" s="2">
        <f>HYPERLINK("https://sao.dolgi.msk.ru/account/1404245017/", 1404245017)</f>
        <v>1404245017</v>
      </c>
      <c r="D4141">
        <v>-8808.2199999999993</v>
      </c>
    </row>
    <row r="4142" spans="1:4" hidden="1" x14ac:dyDescent="0.25">
      <c r="A4142" t="s">
        <v>657</v>
      </c>
      <c r="B4142" t="s">
        <v>190</v>
      </c>
      <c r="C4142" s="2">
        <f>HYPERLINK("https://sao.dolgi.msk.ru/account/1404244938/", 1404244938)</f>
        <v>1404244938</v>
      </c>
      <c r="D4142">
        <v>-5073.34</v>
      </c>
    </row>
    <row r="4143" spans="1:4" hidden="1" x14ac:dyDescent="0.25">
      <c r="A4143" t="s">
        <v>657</v>
      </c>
      <c r="B4143" t="s">
        <v>191</v>
      </c>
      <c r="C4143" s="2">
        <f>HYPERLINK("https://sao.dolgi.msk.ru/account/1404244671/", 1404244671)</f>
        <v>1404244671</v>
      </c>
      <c r="D4143">
        <v>-2878.52</v>
      </c>
    </row>
    <row r="4144" spans="1:4" x14ac:dyDescent="0.25">
      <c r="A4144" t="s">
        <v>657</v>
      </c>
      <c r="B4144" t="s">
        <v>192</v>
      </c>
      <c r="C4144" s="2">
        <f>HYPERLINK("https://sao.dolgi.msk.ru/account/1404245308/", 1404245308)</f>
        <v>1404245308</v>
      </c>
      <c r="D4144">
        <v>5086.92</v>
      </c>
    </row>
    <row r="4145" spans="1:4" x14ac:dyDescent="0.25">
      <c r="A4145" t="s">
        <v>657</v>
      </c>
      <c r="B4145" t="s">
        <v>193</v>
      </c>
      <c r="C4145" s="2">
        <f>HYPERLINK("https://sao.dolgi.msk.ru/account/1404244698/", 1404244698)</f>
        <v>1404244698</v>
      </c>
      <c r="D4145">
        <v>3695.4</v>
      </c>
    </row>
    <row r="4146" spans="1:4" hidden="1" x14ac:dyDescent="0.25">
      <c r="A4146" t="s">
        <v>657</v>
      </c>
      <c r="B4146" t="s">
        <v>194</v>
      </c>
      <c r="C4146" s="2">
        <f>HYPERLINK("https://sao.dolgi.msk.ru/account/1404244719/", 1404244719)</f>
        <v>1404244719</v>
      </c>
      <c r="D4146">
        <v>0</v>
      </c>
    </row>
    <row r="4147" spans="1:4" hidden="1" x14ac:dyDescent="0.25">
      <c r="A4147" t="s">
        <v>657</v>
      </c>
      <c r="B4147" t="s">
        <v>195</v>
      </c>
      <c r="C4147" s="2">
        <f>HYPERLINK("https://sao.dolgi.msk.ru/account/1404243695/", 1404243695)</f>
        <v>1404243695</v>
      </c>
      <c r="D4147">
        <v>-1570.78</v>
      </c>
    </row>
    <row r="4148" spans="1:4" hidden="1" x14ac:dyDescent="0.25">
      <c r="A4148" t="s">
        <v>657</v>
      </c>
      <c r="B4148" t="s">
        <v>196</v>
      </c>
      <c r="C4148" s="2">
        <f>HYPERLINK("https://sao.dolgi.msk.ru/account/1404244727/", 1404244727)</f>
        <v>1404244727</v>
      </c>
      <c r="D4148">
        <v>-6246.98</v>
      </c>
    </row>
    <row r="4149" spans="1:4" hidden="1" x14ac:dyDescent="0.25">
      <c r="A4149" t="s">
        <v>657</v>
      </c>
      <c r="B4149" t="s">
        <v>197</v>
      </c>
      <c r="C4149" s="2">
        <f>HYPERLINK("https://sao.dolgi.msk.ru/account/1404244735/", 1404244735)</f>
        <v>1404244735</v>
      </c>
      <c r="D4149">
        <v>0</v>
      </c>
    </row>
    <row r="4150" spans="1:4" x14ac:dyDescent="0.25">
      <c r="A4150" t="s">
        <v>657</v>
      </c>
      <c r="B4150" t="s">
        <v>198</v>
      </c>
      <c r="C4150" s="2">
        <f>HYPERLINK("https://sao.dolgi.msk.ru/account/1404245316/", 1404245316)</f>
        <v>1404245316</v>
      </c>
      <c r="D4150">
        <v>127354</v>
      </c>
    </row>
    <row r="4151" spans="1:4" x14ac:dyDescent="0.25">
      <c r="A4151" t="s">
        <v>657</v>
      </c>
      <c r="B4151" t="s">
        <v>199</v>
      </c>
      <c r="C4151" s="2">
        <f>HYPERLINK("https://sao.dolgi.msk.ru/account/1404244399/", 1404244399)</f>
        <v>1404244399</v>
      </c>
      <c r="D4151">
        <v>1042.3699999999999</v>
      </c>
    </row>
    <row r="4152" spans="1:4" hidden="1" x14ac:dyDescent="0.25">
      <c r="A4152" t="s">
        <v>657</v>
      </c>
      <c r="B4152" t="s">
        <v>200</v>
      </c>
      <c r="C4152" s="2">
        <f>HYPERLINK("https://sao.dolgi.msk.ru/account/1404243409/", 1404243409)</f>
        <v>1404243409</v>
      </c>
      <c r="D4152">
        <v>-6265.3</v>
      </c>
    </row>
    <row r="4153" spans="1:4" hidden="1" x14ac:dyDescent="0.25">
      <c r="A4153" t="s">
        <v>657</v>
      </c>
      <c r="B4153" t="s">
        <v>201</v>
      </c>
      <c r="C4153" s="2">
        <f>HYPERLINK("https://sao.dolgi.msk.ru/account/1404245009/", 1404245009)</f>
        <v>1404245009</v>
      </c>
      <c r="D4153">
        <v>-365.13</v>
      </c>
    </row>
    <row r="4154" spans="1:4" hidden="1" x14ac:dyDescent="0.25">
      <c r="A4154" t="s">
        <v>657</v>
      </c>
      <c r="B4154" t="s">
        <v>202</v>
      </c>
      <c r="C4154" s="2">
        <f>HYPERLINK("https://sao.dolgi.msk.ru/account/1404245324/", 1404245324)</f>
        <v>1404245324</v>
      </c>
      <c r="D4154">
        <v>0</v>
      </c>
    </row>
    <row r="4155" spans="1:4" x14ac:dyDescent="0.25">
      <c r="A4155" t="s">
        <v>657</v>
      </c>
      <c r="B4155" t="s">
        <v>203</v>
      </c>
      <c r="C4155" s="2">
        <f>HYPERLINK("https://sao.dolgi.msk.ru/account/1404244364/", 1404244364)</f>
        <v>1404244364</v>
      </c>
      <c r="D4155">
        <v>57645.42</v>
      </c>
    </row>
    <row r="4156" spans="1:4" x14ac:dyDescent="0.25">
      <c r="A4156" t="s">
        <v>657</v>
      </c>
      <c r="B4156" t="s">
        <v>203</v>
      </c>
      <c r="C4156" s="2">
        <f>HYPERLINK("https://sao.dolgi.msk.ru/account/1404245332/", 1404245332)</f>
        <v>1404245332</v>
      </c>
      <c r="D4156">
        <v>1461.98</v>
      </c>
    </row>
    <row r="4157" spans="1:4" hidden="1" x14ac:dyDescent="0.25">
      <c r="A4157" t="s">
        <v>657</v>
      </c>
      <c r="B4157" t="s">
        <v>204</v>
      </c>
      <c r="C4157" s="2">
        <f>HYPERLINK("https://sao.dolgi.msk.ru/account/1404245164/", 1404245164)</f>
        <v>1404245164</v>
      </c>
      <c r="D4157">
        <v>-8620.9599999999991</v>
      </c>
    </row>
    <row r="4158" spans="1:4" x14ac:dyDescent="0.25">
      <c r="A4158" t="s">
        <v>658</v>
      </c>
      <c r="B4158" t="s">
        <v>5</v>
      </c>
      <c r="C4158" s="2">
        <f>HYPERLINK("https://sao.dolgi.msk.ru/account/1404250289/", 1404250289)</f>
        <v>1404250289</v>
      </c>
      <c r="D4158">
        <v>14000</v>
      </c>
    </row>
    <row r="4159" spans="1:4" hidden="1" x14ac:dyDescent="0.25">
      <c r="A4159" t="s">
        <v>658</v>
      </c>
      <c r="B4159" t="s">
        <v>6</v>
      </c>
      <c r="C4159" s="2">
        <f>HYPERLINK("https://sao.dolgi.msk.ru/account/1404248074/", 1404248074)</f>
        <v>1404248074</v>
      </c>
      <c r="D4159">
        <v>0</v>
      </c>
    </row>
    <row r="4160" spans="1:4" hidden="1" x14ac:dyDescent="0.25">
      <c r="A4160" t="s">
        <v>658</v>
      </c>
      <c r="B4160" t="s">
        <v>7</v>
      </c>
      <c r="C4160" s="2">
        <f>HYPERLINK("https://sao.dolgi.msk.ru/account/1404249544/", 1404249544)</f>
        <v>1404249544</v>
      </c>
      <c r="D4160">
        <v>-4065.91</v>
      </c>
    </row>
    <row r="4161" spans="1:4" x14ac:dyDescent="0.25">
      <c r="A4161" t="s">
        <v>658</v>
      </c>
      <c r="B4161" t="s">
        <v>8</v>
      </c>
      <c r="C4161" s="2">
        <f>HYPERLINK("https://sao.dolgi.msk.ru/account/1404250131/", 1404250131)</f>
        <v>1404250131</v>
      </c>
      <c r="D4161">
        <v>13185.64</v>
      </c>
    </row>
    <row r="4162" spans="1:4" x14ac:dyDescent="0.25">
      <c r="A4162" t="s">
        <v>658</v>
      </c>
      <c r="B4162" t="s">
        <v>8</v>
      </c>
      <c r="C4162" s="2">
        <f>HYPERLINK("https://sao.dolgi.msk.ru/account/1404250852/", 1404250852)</f>
        <v>1404250852</v>
      </c>
      <c r="D4162">
        <v>10710.51</v>
      </c>
    </row>
    <row r="4163" spans="1:4" x14ac:dyDescent="0.25">
      <c r="A4163" t="s">
        <v>658</v>
      </c>
      <c r="B4163" t="s">
        <v>8</v>
      </c>
      <c r="C4163" s="2">
        <f>HYPERLINK("https://sao.dolgi.msk.ru/account/1404251628/", 1404251628)</f>
        <v>1404251628</v>
      </c>
      <c r="D4163">
        <v>19107.189999999999</v>
      </c>
    </row>
    <row r="4164" spans="1:4" hidden="1" x14ac:dyDescent="0.25">
      <c r="A4164" t="s">
        <v>658</v>
      </c>
      <c r="B4164" t="s">
        <v>9</v>
      </c>
      <c r="C4164" s="2">
        <f>HYPERLINK("https://sao.dolgi.msk.ru/account/1404247549/", 1404247549)</f>
        <v>1404247549</v>
      </c>
      <c r="D4164">
        <v>0</v>
      </c>
    </row>
    <row r="4165" spans="1:4" hidden="1" x14ac:dyDescent="0.25">
      <c r="A4165" t="s">
        <v>658</v>
      </c>
      <c r="B4165" t="s">
        <v>10</v>
      </c>
      <c r="C4165" s="2">
        <f>HYPERLINK("https://sao.dolgi.msk.ru/account/1404245949/", 1404245949)</f>
        <v>1404245949</v>
      </c>
      <c r="D4165">
        <v>-8028.33</v>
      </c>
    </row>
    <row r="4166" spans="1:4" hidden="1" x14ac:dyDescent="0.25">
      <c r="A4166" t="s">
        <v>658</v>
      </c>
      <c r="B4166" t="s">
        <v>11</v>
      </c>
      <c r="C4166" s="2">
        <f>HYPERLINK("https://sao.dolgi.msk.ru/account/1404251118/", 1404251118)</f>
        <v>1404251118</v>
      </c>
      <c r="D4166">
        <v>-8166.69</v>
      </c>
    </row>
    <row r="4167" spans="1:4" x14ac:dyDescent="0.25">
      <c r="A4167" t="s">
        <v>658</v>
      </c>
      <c r="B4167" t="s">
        <v>12</v>
      </c>
      <c r="C4167" s="2">
        <f>HYPERLINK("https://sao.dolgi.msk.ru/account/1404245957/", 1404245957)</f>
        <v>1404245957</v>
      </c>
      <c r="D4167">
        <v>21292.29</v>
      </c>
    </row>
    <row r="4168" spans="1:4" hidden="1" x14ac:dyDescent="0.25">
      <c r="A4168" t="s">
        <v>658</v>
      </c>
      <c r="B4168" t="s">
        <v>13</v>
      </c>
      <c r="C4168" s="2">
        <f>HYPERLINK("https://sao.dolgi.msk.ru/account/1404250879/", 1404250879)</f>
        <v>1404250879</v>
      </c>
      <c r="D4168">
        <v>-5969.61</v>
      </c>
    </row>
    <row r="4169" spans="1:4" x14ac:dyDescent="0.25">
      <c r="A4169" t="s">
        <v>658</v>
      </c>
      <c r="B4169" t="s">
        <v>14</v>
      </c>
      <c r="C4169" s="2">
        <f>HYPERLINK("https://sao.dolgi.msk.ru/account/1404248154/", 1404248154)</f>
        <v>1404248154</v>
      </c>
      <c r="D4169">
        <v>18739.849999999999</v>
      </c>
    </row>
    <row r="4170" spans="1:4" hidden="1" x14ac:dyDescent="0.25">
      <c r="A4170" t="s">
        <v>658</v>
      </c>
      <c r="B4170" t="s">
        <v>15</v>
      </c>
      <c r="C4170" s="2">
        <f>HYPERLINK("https://sao.dolgi.msk.ru/account/1404246466/", 1404246466)</f>
        <v>1404246466</v>
      </c>
      <c r="D4170">
        <v>-4303.1000000000004</v>
      </c>
    </row>
    <row r="4171" spans="1:4" x14ac:dyDescent="0.25">
      <c r="A4171" t="s">
        <v>658</v>
      </c>
      <c r="B4171" t="s">
        <v>16</v>
      </c>
      <c r="C4171" s="2">
        <f>HYPERLINK("https://sao.dolgi.msk.ru/account/1404250385/", 1404250385)</f>
        <v>1404250385</v>
      </c>
      <c r="D4171">
        <v>545.4</v>
      </c>
    </row>
    <row r="4172" spans="1:4" hidden="1" x14ac:dyDescent="0.25">
      <c r="A4172" t="s">
        <v>658</v>
      </c>
      <c r="B4172" t="s">
        <v>17</v>
      </c>
      <c r="C4172" s="2">
        <f>HYPERLINK("https://sao.dolgi.msk.ru/account/1404248365/", 1404248365)</f>
        <v>1404248365</v>
      </c>
      <c r="D4172">
        <v>0</v>
      </c>
    </row>
    <row r="4173" spans="1:4" hidden="1" x14ac:dyDescent="0.25">
      <c r="A4173" t="s">
        <v>658</v>
      </c>
      <c r="B4173" t="s">
        <v>18</v>
      </c>
      <c r="C4173" s="2">
        <f>HYPERLINK("https://sao.dolgi.msk.ru/account/1404247522/", 1404247522)</f>
        <v>1404247522</v>
      </c>
      <c r="D4173">
        <v>-6492.75</v>
      </c>
    </row>
    <row r="4174" spans="1:4" hidden="1" x14ac:dyDescent="0.25">
      <c r="A4174" t="s">
        <v>658</v>
      </c>
      <c r="B4174" t="s">
        <v>19</v>
      </c>
      <c r="C4174" s="2">
        <f>HYPERLINK("https://sao.dolgi.msk.ru/account/1404246706/", 1404246706)</f>
        <v>1404246706</v>
      </c>
      <c r="D4174">
        <v>-81.06</v>
      </c>
    </row>
    <row r="4175" spans="1:4" hidden="1" x14ac:dyDescent="0.25">
      <c r="A4175" t="s">
        <v>658</v>
      </c>
      <c r="B4175" t="s">
        <v>20</v>
      </c>
      <c r="C4175" s="2">
        <f>HYPERLINK("https://sao.dolgi.msk.ru/account/1404248648/", 1404248648)</f>
        <v>1404248648</v>
      </c>
      <c r="D4175">
        <v>0</v>
      </c>
    </row>
    <row r="4176" spans="1:4" hidden="1" x14ac:dyDescent="0.25">
      <c r="A4176" t="s">
        <v>658</v>
      </c>
      <c r="B4176" t="s">
        <v>21</v>
      </c>
      <c r="C4176" s="2">
        <f>HYPERLINK("https://sao.dolgi.msk.ru/account/1404248568/", 1404248568)</f>
        <v>1404248568</v>
      </c>
      <c r="D4176">
        <v>0</v>
      </c>
    </row>
    <row r="4177" spans="1:4" x14ac:dyDescent="0.25">
      <c r="A4177" t="s">
        <v>658</v>
      </c>
      <c r="B4177" t="s">
        <v>22</v>
      </c>
      <c r="C4177" s="2">
        <f>HYPERLINK("https://sao.dolgi.msk.ru/account/1404246888/", 1404246888)</f>
        <v>1404246888</v>
      </c>
      <c r="D4177">
        <v>25003.599999999999</v>
      </c>
    </row>
    <row r="4178" spans="1:4" hidden="1" x14ac:dyDescent="0.25">
      <c r="A4178" t="s">
        <v>658</v>
      </c>
      <c r="B4178" t="s">
        <v>23</v>
      </c>
      <c r="C4178" s="2">
        <f>HYPERLINK("https://sao.dolgi.msk.ru/account/1404247186/", 1404247186)</f>
        <v>1404247186</v>
      </c>
      <c r="D4178">
        <v>-3457.51</v>
      </c>
    </row>
    <row r="4179" spans="1:4" hidden="1" x14ac:dyDescent="0.25">
      <c r="A4179" t="s">
        <v>658</v>
      </c>
      <c r="B4179" t="s">
        <v>24</v>
      </c>
      <c r="C4179" s="2">
        <f>HYPERLINK("https://sao.dolgi.msk.ru/account/1404247012/", 1404247012)</f>
        <v>1404247012</v>
      </c>
      <c r="D4179">
        <v>0</v>
      </c>
    </row>
    <row r="4180" spans="1:4" x14ac:dyDescent="0.25">
      <c r="A4180" t="s">
        <v>658</v>
      </c>
      <c r="B4180" t="s">
        <v>25</v>
      </c>
      <c r="C4180" s="2">
        <f>HYPERLINK("https://sao.dolgi.msk.ru/account/1404250414/", 1404250414)</f>
        <v>1404250414</v>
      </c>
      <c r="D4180">
        <v>6471.03</v>
      </c>
    </row>
    <row r="4181" spans="1:4" hidden="1" x14ac:dyDescent="0.25">
      <c r="A4181" t="s">
        <v>658</v>
      </c>
      <c r="B4181" t="s">
        <v>26</v>
      </c>
      <c r="C4181" s="2">
        <f>HYPERLINK("https://sao.dolgi.msk.ru/account/1404247821/", 1404247821)</f>
        <v>1404247821</v>
      </c>
      <c r="D4181">
        <v>0</v>
      </c>
    </row>
    <row r="4182" spans="1:4" x14ac:dyDescent="0.25">
      <c r="A4182" t="s">
        <v>658</v>
      </c>
      <c r="B4182" t="s">
        <v>27</v>
      </c>
      <c r="C4182" s="2">
        <f>HYPERLINK("https://sao.dolgi.msk.ru/account/1404248015/", 1404248015)</f>
        <v>1404248015</v>
      </c>
      <c r="D4182">
        <v>42378.33</v>
      </c>
    </row>
    <row r="4183" spans="1:4" hidden="1" x14ac:dyDescent="0.25">
      <c r="A4183" t="s">
        <v>658</v>
      </c>
      <c r="B4183" t="s">
        <v>28</v>
      </c>
      <c r="C4183" s="2">
        <f>HYPERLINK("https://sao.dolgi.msk.ru/account/1404247776/", 1404247776)</f>
        <v>1404247776</v>
      </c>
      <c r="D4183">
        <v>-7673.68</v>
      </c>
    </row>
    <row r="4184" spans="1:4" hidden="1" x14ac:dyDescent="0.25">
      <c r="A4184" t="s">
        <v>658</v>
      </c>
      <c r="B4184" t="s">
        <v>29</v>
      </c>
      <c r="C4184" s="2">
        <f>HYPERLINK("https://sao.dolgi.msk.ru/account/1404249368/", 1404249368)</f>
        <v>1404249368</v>
      </c>
      <c r="D4184">
        <v>0</v>
      </c>
    </row>
    <row r="4185" spans="1:4" hidden="1" x14ac:dyDescent="0.25">
      <c r="A4185" t="s">
        <v>658</v>
      </c>
      <c r="B4185" t="s">
        <v>30</v>
      </c>
      <c r="C4185" s="2">
        <f>HYPERLINK("https://sao.dolgi.msk.ru/account/1404246626/", 1404246626)</f>
        <v>1404246626</v>
      </c>
      <c r="D4185">
        <v>0</v>
      </c>
    </row>
    <row r="4186" spans="1:4" hidden="1" x14ac:dyDescent="0.25">
      <c r="A4186" t="s">
        <v>658</v>
      </c>
      <c r="B4186" t="s">
        <v>31</v>
      </c>
      <c r="C4186" s="2">
        <f>HYPERLINK("https://sao.dolgi.msk.ru/account/1404251046/", 1404251046)</f>
        <v>1404251046</v>
      </c>
      <c r="D4186">
        <v>-11858.45</v>
      </c>
    </row>
    <row r="4187" spans="1:4" hidden="1" x14ac:dyDescent="0.25">
      <c r="A4187" t="s">
        <v>658</v>
      </c>
      <c r="B4187" t="s">
        <v>32</v>
      </c>
      <c r="C4187" s="2">
        <f>HYPERLINK("https://sao.dolgi.msk.ru/account/1404248955/", 1404248955)</f>
        <v>1404248955</v>
      </c>
      <c r="D4187">
        <v>-6870.19</v>
      </c>
    </row>
    <row r="4188" spans="1:4" hidden="1" x14ac:dyDescent="0.25">
      <c r="A4188" t="s">
        <v>658</v>
      </c>
      <c r="B4188" t="s">
        <v>33</v>
      </c>
      <c r="C4188" s="2">
        <f>HYPERLINK("https://sao.dolgi.msk.ru/account/1404249878/", 1404249878)</f>
        <v>1404249878</v>
      </c>
      <c r="D4188">
        <v>-5095.3900000000003</v>
      </c>
    </row>
    <row r="4189" spans="1:4" hidden="1" x14ac:dyDescent="0.25">
      <c r="A4189" t="s">
        <v>658</v>
      </c>
      <c r="B4189" t="s">
        <v>34</v>
      </c>
      <c r="C4189" s="2">
        <f>HYPERLINK("https://sao.dolgi.msk.ru/account/1404248023/", 1404248023)</f>
        <v>1404248023</v>
      </c>
      <c r="D4189">
        <v>0</v>
      </c>
    </row>
    <row r="4190" spans="1:4" hidden="1" x14ac:dyDescent="0.25">
      <c r="A4190" t="s">
        <v>658</v>
      </c>
      <c r="B4190" t="s">
        <v>35</v>
      </c>
      <c r="C4190" s="2">
        <f>HYPERLINK("https://sao.dolgi.msk.ru/account/1404247899/", 1404247899)</f>
        <v>1404247899</v>
      </c>
      <c r="D4190">
        <v>-8393.48</v>
      </c>
    </row>
    <row r="4191" spans="1:4" x14ac:dyDescent="0.25">
      <c r="A4191" t="s">
        <v>658</v>
      </c>
      <c r="B4191" t="s">
        <v>36</v>
      </c>
      <c r="C4191" s="2">
        <f>HYPERLINK("https://sao.dolgi.msk.ru/account/1404247055/", 1404247055)</f>
        <v>1404247055</v>
      </c>
      <c r="D4191">
        <v>4164.76</v>
      </c>
    </row>
    <row r="4192" spans="1:4" hidden="1" x14ac:dyDescent="0.25">
      <c r="A4192" t="s">
        <v>658</v>
      </c>
      <c r="B4192" t="s">
        <v>37</v>
      </c>
      <c r="C4192" s="2">
        <f>HYPERLINK("https://sao.dolgi.msk.ru/account/1404249819/", 1404249819)</f>
        <v>1404249819</v>
      </c>
      <c r="D4192">
        <v>0</v>
      </c>
    </row>
    <row r="4193" spans="1:4" hidden="1" x14ac:dyDescent="0.25">
      <c r="A4193" t="s">
        <v>658</v>
      </c>
      <c r="B4193" t="s">
        <v>38</v>
      </c>
      <c r="C4193" s="2">
        <f>HYPERLINK("https://sao.dolgi.msk.ru/account/1404247661/", 1404247661)</f>
        <v>1404247661</v>
      </c>
      <c r="D4193">
        <v>-6157.4</v>
      </c>
    </row>
    <row r="4194" spans="1:4" hidden="1" x14ac:dyDescent="0.25">
      <c r="A4194" t="s">
        <v>658</v>
      </c>
      <c r="B4194" t="s">
        <v>39</v>
      </c>
      <c r="C4194" s="2">
        <f>HYPERLINK("https://sao.dolgi.msk.ru/account/1404248509/", 1404248509)</f>
        <v>1404248509</v>
      </c>
      <c r="D4194">
        <v>0</v>
      </c>
    </row>
    <row r="4195" spans="1:4" hidden="1" x14ac:dyDescent="0.25">
      <c r="A4195" t="s">
        <v>658</v>
      </c>
      <c r="B4195" t="s">
        <v>39</v>
      </c>
      <c r="C4195" s="2">
        <f>HYPERLINK("https://sao.dolgi.msk.ru/account/1404251097/", 1404251097)</f>
        <v>1404251097</v>
      </c>
      <c r="D4195">
        <v>0</v>
      </c>
    </row>
    <row r="4196" spans="1:4" hidden="1" x14ac:dyDescent="0.25">
      <c r="A4196" t="s">
        <v>658</v>
      </c>
      <c r="B4196" t="s">
        <v>659</v>
      </c>
      <c r="C4196" s="2">
        <f>HYPERLINK("https://sao.dolgi.msk.ru/account/1404247477/", 1404247477)</f>
        <v>1404247477</v>
      </c>
      <c r="D4196">
        <v>-918.71</v>
      </c>
    </row>
    <row r="4197" spans="1:4" x14ac:dyDescent="0.25">
      <c r="A4197" t="s">
        <v>658</v>
      </c>
      <c r="B4197" t="s">
        <v>42</v>
      </c>
      <c r="C4197" s="2">
        <f>HYPERLINK("https://sao.dolgi.msk.ru/account/1404250318/", 1404250318)</f>
        <v>1404250318</v>
      </c>
      <c r="D4197">
        <v>31978.31</v>
      </c>
    </row>
    <row r="4198" spans="1:4" hidden="1" x14ac:dyDescent="0.25">
      <c r="A4198" t="s">
        <v>658</v>
      </c>
      <c r="B4198" t="s">
        <v>43</v>
      </c>
      <c r="C4198" s="2">
        <f>HYPERLINK("https://sao.dolgi.msk.ru/account/1404250721/", 1404250721)</f>
        <v>1404250721</v>
      </c>
      <c r="D4198">
        <v>-5755.47</v>
      </c>
    </row>
    <row r="4199" spans="1:4" hidden="1" x14ac:dyDescent="0.25">
      <c r="A4199" t="s">
        <v>658</v>
      </c>
      <c r="B4199" t="s">
        <v>44</v>
      </c>
      <c r="C4199" s="2">
        <f>HYPERLINK("https://sao.dolgi.msk.ru/account/1404247485/", 1404247485)</f>
        <v>1404247485</v>
      </c>
      <c r="D4199">
        <v>-6910.5</v>
      </c>
    </row>
    <row r="4200" spans="1:4" hidden="1" x14ac:dyDescent="0.25">
      <c r="A4200" t="s">
        <v>658</v>
      </c>
      <c r="B4200" t="s">
        <v>45</v>
      </c>
      <c r="C4200" s="2">
        <f>HYPERLINK("https://sao.dolgi.msk.ru/account/1404248787/", 1404248787)</f>
        <v>1404248787</v>
      </c>
      <c r="D4200">
        <v>-6576.6</v>
      </c>
    </row>
    <row r="4201" spans="1:4" x14ac:dyDescent="0.25">
      <c r="A4201" t="s">
        <v>658</v>
      </c>
      <c r="B4201" t="s">
        <v>46</v>
      </c>
      <c r="C4201" s="2">
        <f>HYPERLINK("https://sao.dolgi.msk.ru/account/1404247944/", 1404247944)</f>
        <v>1404247944</v>
      </c>
      <c r="D4201">
        <v>13682.99</v>
      </c>
    </row>
    <row r="4202" spans="1:4" hidden="1" x14ac:dyDescent="0.25">
      <c r="A4202" t="s">
        <v>658</v>
      </c>
      <c r="B4202" t="s">
        <v>47</v>
      </c>
      <c r="C4202" s="2">
        <f>HYPERLINK("https://sao.dolgi.msk.ru/account/1404246714/", 1404246714)</f>
        <v>1404246714</v>
      </c>
      <c r="D4202">
        <v>-4640.16</v>
      </c>
    </row>
    <row r="4203" spans="1:4" x14ac:dyDescent="0.25">
      <c r="A4203" t="s">
        <v>658</v>
      </c>
      <c r="B4203" t="s">
        <v>48</v>
      </c>
      <c r="C4203" s="2">
        <f>HYPERLINK("https://sao.dolgi.msk.ru/account/1404248445/", 1404248445)</f>
        <v>1404248445</v>
      </c>
      <c r="D4203">
        <v>13161.24</v>
      </c>
    </row>
    <row r="4204" spans="1:4" hidden="1" x14ac:dyDescent="0.25">
      <c r="A4204" t="s">
        <v>658</v>
      </c>
      <c r="B4204" t="s">
        <v>49</v>
      </c>
      <c r="C4204" s="2">
        <f>HYPERLINK("https://sao.dolgi.msk.ru/account/1404246693/", 1404246693)</f>
        <v>1404246693</v>
      </c>
      <c r="D4204">
        <v>-6688.66</v>
      </c>
    </row>
    <row r="4205" spans="1:4" hidden="1" x14ac:dyDescent="0.25">
      <c r="A4205" t="s">
        <v>658</v>
      </c>
      <c r="B4205" t="s">
        <v>50</v>
      </c>
      <c r="C4205" s="2">
        <f>HYPERLINK("https://sao.dolgi.msk.ru/account/1404250051/", 1404250051)</f>
        <v>1404250051</v>
      </c>
      <c r="D4205">
        <v>0</v>
      </c>
    </row>
    <row r="4206" spans="1:4" hidden="1" x14ac:dyDescent="0.25">
      <c r="A4206" t="s">
        <v>658</v>
      </c>
      <c r="B4206" t="s">
        <v>51</v>
      </c>
      <c r="C4206" s="2">
        <f>HYPERLINK("https://sao.dolgi.msk.ru/account/1404246095/", 1404246095)</f>
        <v>1404246095</v>
      </c>
      <c r="D4206">
        <v>-9252.2900000000009</v>
      </c>
    </row>
    <row r="4207" spans="1:4" hidden="1" x14ac:dyDescent="0.25">
      <c r="A4207" t="s">
        <v>658</v>
      </c>
      <c r="B4207" t="s">
        <v>52</v>
      </c>
      <c r="C4207" s="2">
        <f>HYPERLINK("https://sao.dolgi.msk.ru/account/1404247514/", 1404247514)</f>
        <v>1404247514</v>
      </c>
      <c r="D4207">
        <v>-5708.83</v>
      </c>
    </row>
    <row r="4208" spans="1:4" x14ac:dyDescent="0.25">
      <c r="A4208" t="s">
        <v>658</v>
      </c>
      <c r="B4208" t="s">
        <v>53</v>
      </c>
      <c r="C4208" s="2">
        <f>HYPERLINK("https://sao.dolgi.msk.ru/account/1404248816/", 1404248816)</f>
        <v>1404248816</v>
      </c>
      <c r="D4208">
        <v>166.33</v>
      </c>
    </row>
    <row r="4209" spans="1:4" hidden="1" x14ac:dyDescent="0.25">
      <c r="A4209" t="s">
        <v>658</v>
      </c>
      <c r="B4209" t="s">
        <v>54</v>
      </c>
      <c r="C4209" s="2">
        <f>HYPERLINK("https://sao.dolgi.msk.ru/account/1404251505/", 1404251505)</f>
        <v>1404251505</v>
      </c>
      <c r="D4209">
        <v>-4612.1400000000003</v>
      </c>
    </row>
    <row r="4210" spans="1:4" hidden="1" x14ac:dyDescent="0.25">
      <c r="A4210" t="s">
        <v>658</v>
      </c>
      <c r="B4210" t="s">
        <v>55</v>
      </c>
      <c r="C4210" s="2">
        <f>HYPERLINK("https://sao.dolgi.msk.ru/account/1404249712/", 1404249712)</f>
        <v>1404249712</v>
      </c>
      <c r="D4210">
        <v>0</v>
      </c>
    </row>
    <row r="4211" spans="1:4" hidden="1" x14ac:dyDescent="0.25">
      <c r="A4211" t="s">
        <v>658</v>
      </c>
      <c r="B4211" t="s">
        <v>56</v>
      </c>
      <c r="C4211" s="2">
        <f>HYPERLINK("https://sao.dolgi.msk.ru/account/1404251214/", 1404251214)</f>
        <v>1404251214</v>
      </c>
      <c r="D4211">
        <v>-6151.82</v>
      </c>
    </row>
    <row r="4212" spans="1:4" x14ac:dyDescent="0.25">
      <c r="A4212" t="s">
        <v>658</v>
      </c>
      <c r="B4212" t="s">
        <v>57</v>
      </c>
      <c r="C4212" s="2">
        <f>HYPERLINK("https://sao.dolgi.msk.ru/account/1404251513/", 1404251513)</f>
        <v>1404251513</v>
      </c>
      <c r="D4212">
        <v>76246.350000000006</v>
      </c>
    </row>
    <row r="4213" spans="1:4" hidden="1" x14ac:dyDescent="0.25">
      <c r="A4213" t="s">
        <v>658</v>
      </c>
      <c r="B4213" t="s">
        <v>58</v>
      </c>
      <c r="C4213" s="2">
        <f>HYPERLINK("https://sao.dolgi.msk.ru/account/1404248664/", 1404248664)</f>
        <v>1404248664</v>
      </c>
      <c r="D4213">
        <v>-3504.82</v>
      </c>
    </row>
    <row r="4214" spans="1:4" x14ac:dyDescent="0.25">
      <c r="A4214" t="s">
        <v>658</v>
      </c>
      <c r="B4214" t="s">
        <v>58</v>
      </c>
      <c r="C4214" s="2">
        <f>HYPERLINK("https://sao.dolgi.msk.ru/account/1404249472/", 1404249472)</f>
        <v>1404249472</v>
      </c>
      <c r="D4214">
        <v>72260.83</v>
      </c>
    </row>
    <row r="4215" spans="1:4" x14ac:dyDescent="0.25">
      <c r="A4215" t="s">
        <v>658</v>
      </c>
      <c r="B4215" t="s">
        <v>59</v>
      </c>
      <c r="C4215" s="2">
        <f>HYPERLINK("https://sao.dolgi.msk.ru/account/1404248904/", 1404248904)</f>
        <v>1404248904</v>
      </c>
      <c r="D4215">
        <v>7976.83</v>
      </c>
    </row>
    <row r="4216" spans="1:4" hidden="1" x14ac:dyDescent="0.25">
      <c r="A4216" t="s">
        <v>658</v>
      </c>
      <c r="B4216" t="s">
        <v>60</v>
      </c>
      <c r="C4216" s="2">
        <f>HYPERLINK("https://sao.dolgi.msk.ru/account/1404249456/", 1404249456)</f>
        <v>1404249456</v>
      </c>
      <c r="D4216">
        <v>-8019.45</v>
      </c>
    </row>
    <row r="4217" spans="1:4" hidden="1" x14ac:dyDescent="0.25">
      <c r="A4217" t="s">
        <v>658</v>
      </c>
      <c r="B4217" t="s">
        <v>61</v>
      </c>
      <c r="C4217" s="2">
        <f>HYPERLINK("https://sao.dolgi.msk.ru/account/1404250932/", 1404250932)</f>
        <v>1404250932</v>
      </c>
      <c r="D4217">
        <v>0</v>
      </c>
    </row>
    <row r="4218" spans="1:4" hidden="1" x14ac:dyDescent="0.25">
      <c r="A4218" t="s">
        <v>658</v>
      </c>
      <c r="B4218" t="s">
        <v>62</v>
      </c>
      <c r="C4218" s="2">
        <f>HYPERLINK("https://sao.dolgi.msk.ru/account/1404248306/", 1404248306)</f>
        <v>1404248306</v>
      </c>
      <c r="D4218">
        <v>-4417.68</v>
      </c>
    </row>
    <row r="4219" spans="1:4" hidden="1" x14ac:dyDescent="0.25">
      <c r="A4219" t="s">
        <v>658</v>
      </c>
      <c r="B4219" t="s">
        <v>63</v>
      </c>
      <c r="C4219" s="2">
        <f>HYPERLINK("https://sao.dolgi.msk.ru/account/1404249077/", 1404249077)</f>
        <v>1404249077</v>
      </c>
      <c r="D4219">
        <v>-4506.59</v>
      </c>
    </row>
    <row r="4220" spans="1:4" hidden="1" x14ac:dyDescent="0.25">
      <c r="A4220" t="s">
        <v>658</v>
      </c>
      <c r="B4220" t="s">
        <v>64</v>
      </c>
      <c r="C4220" s="2">
        <f>HYPERLINK("https://sao.dolgi.msk.ru/account/1404247004/", 1404247004)</f>
        <v>1404247004</v>
      </c>
      <c r="D4220">
        <v>-3344.51</v>
      </c>
    </row>
    <row r="4221" spans="1:4" hidden="1" x14ac:dyDescent="0.25">
      <c r="A4221" t="s">
        <v>658</v>
      </c>
      <c r="B4221" t="s">
        <v>64</v>
      </c>
      <c r="C4221" s="2">
        <f>HYPERLINK("https://sao.dolgi.msk.ru/account/1404248197/", 1404248197)</f>
        <v>1404248197</v>
      </c>
      <c r="D4221">
        <v>-3604.51</v>
      </c>
    </row>
    <row r="4222" spans="1:4" hidden="1" x14ac:dyDescent="0.25">
      <c r="A4222" t="s">
        <v>658</v>
      </c>
      <c r="B4222" t="s">
        <v>65</v>
      </c>
      <c r="C4222" s="2">
        <f>HYPERLINK("https://sao.dolgi.msk.ru/account/1404248082/", 1404248082)</f>
        <v>1404248082</v>
      </c>
      <c r="D4222">
        <v>-10719.51</v>
      </c>
    </row>
    <row r="4223" spans="1:4" hidden="1" x14ac:dyDescent="0.25">
      <c r="A4223" t="s">
        <v>658</v>
      </c>
      <c r="B4223" t="s">
        <v>66</v>
      </c>
      <c r="C4223" s="2">
        <f>HYPERLINK("https://sao.dolgi.msk.ru/account/1404251601/", 1404251601)</f>
        <v>1404251601</v>
      </c>
      <c r="D4223">
        <v>-6373.51</v>
      </c>
    </row>
    <row r="4224" spans="1:4" hidden="1" x14ac:dyDescent="0.25">
      <c r="A4224" t="s">
        <v>658</v>
      </c>
      <c r="B4224" t="s">
        <v>67</v>
      </c>
      <c r="C4224" s="2">
        <f>HYPERLINK("https://sao.dolgi.msk.ru/account/1404246001/", 1404246001)</f>
        <v>1404246001</v>
      </c>
      <c r="D4224">
        <v>0</v>
      </c>
    </row>
    <row r="4225" spans="1:4" x14ac:dyDescent="0.25">
      <c r="A4225" t="s">
        <v>658</v>
      </c>
      <c r="B4225" t="s">
        <v>68</v>
      </c>
      <c r="C4225" s="2">
        <f>HYPERLINK("https://sao.dolgi.msk.ru/account/1404249835/", 1404249835)</f>
        <v>1404249835</v>
      </c>
      <c r="D4225">
        <v>11884.84</v>
      </c>
    </row>
    <row r="4226" spans="1:4" x14ac:dyDescent="0.25">
      <c r="A4226" t="s">
        <v>658</v>
      </c>
      <c r="B4226" t="s">
        <v>69</v>
      </c>
      <c r="C4226" s="2">
        <f>HYPERLINK("https://sao.dolgi.msk.ru/account/1404251193/", 1404251193)</f>
        <v>1404251193</v>
      </c>
      <c r="D4226">
        <v>11924.2</v>
      </c>
    </row>
    <row r="4227" spans="1:4" x14ac:dyDescent="0.25">
      <c r="A4227" t="s">
        <v>658</v>
      </c>
      <c r="B4227" t="s">
        <v>70</v>
      </c>
      <c r="C4227" s="2">
        <f>HYPERLINK("https://sao.dolgi.msk.ru/account/1404246781/", 1404246781)</f>
        <v>1404246781</v>
      </c>
      <c r="D4227">
        <v>5614.81</v>
      </c>
    </row>
    <row r="4228" spans="1:4" hidden="1" x14ac:dyDescent="0.25">
      <c r="A4228" t="s">
        <v>658</v>
      </c>
      <c r="B4228" t="s">
        <v>71</v>
      </c>
      <c r="C4228" s="2">
        <f>HYPERLINK("https://sao.dolgi.msk.ru/account/1404250502/", 1404250502)</f>
        <v>1404250502</v>
      </c>
      <c r="D4228">
        <v>-5879</v>
      </c>
    </row>
    <row r="4229" spans="1:4" hidden="1" x14ac:dyDescent="0.25">
      <c r="A4229" t="s">
        <v>658</v>
      </c>
      <c r="B4229" t="s">
        <v>72</v>
      </c>
      <c r="C4229" s="2">
        <f>HYPERLINK("https://sao.dolgi.msk.ru/account/1404247338/", 1404247338)</f>
        <v>1404247338</v>
      </c>
      <c r="D4229">
        <v>-3377</v>
      </c>
    </row>
    <row r="4230" spans="1:4" hidden="1" x14ac:dyDescent="0.25">
      <c r="A4230" t="s">
        <v>658</v>
      </c>
      <c r="B4230" t="s">
        <v>73</v>
      </c>
      <c r="C4230" s="2">
        <f>HYPERLINK("https://sao.dolgi.msk.ru/account/1404248496/", 1404248496)</f>
        <v>1404248496</v>
      </c>
      <c r="D4230">
        <v>0</v>
      </c>
    </row>
    <row r="4231" spans="1:4" hidden="1" x14ac:dyDescent="0.25">
      <c r="A4231" t="s">
        <v>658</v>
      </c>
      <c r="B4231" t="s">
        <v>74</v>
      </c>
      <c r="C4231" s="2">
        <f>HYPERLINK("https://sao.dolgi.msk.ru/account/1404249675/", 1404249675)</f>
        <v>1404249675</v>
      </c>
      <c r="D4231">
        <v>-4199.13</v>
      </c>
    </row>
    <row r="4232" spans="1:4" hidden="1" x14ac:dyDescent="0.25">
      <c r="A4232" t="s">
        <v>658</v>
      </c>
      <c r="B4232" t="s">
        <v>75</v>
      </c>
      <c r="C4232" s="2">
        <f>HYPERLINK("https://sao.dolgi.msk.ru/account/1404249843/", 1404249843)</f>
        <v>1404249843</v>
      </c>
      <c r="D4232">
        <v>0</v>
      </c>
    </row>
    <row r="4233" spans="1:4" hidden="1" x14ac:dyDescent="0.25">
      <c r="A4233" t="s">
        <v>658</v>
      </c>
      <c r="B4233" t="s">
        <v>76</v>
      </c>
      <c r="C4233" s="2">
        <f>HYPERLINK("https://sao.dolgi.msk.ru/account/1404246861/", 1404246861)</f>
        <v>1404246861</v>
      </c>
      <c r="D4233">
        <v>-7900.9</v>
      </c>
    </row>
    <row r="4234" spans="1:4" hidden="1" x14ac:dyDescent="0.25">
      <c r="A4234" t="s">
        <v>658</v>
      </c>
      <c r="B4234" t="s">
        <v>77</v>
      </c>
      <c r="C4234" s="2">
        <f>HYPERLINK("https://sao.dolgi.msk.ru/account/1404247266/", 1404247266)</f>
        <v>1404247266</v>
      </c>
      <c r="D4234">
        <v>-5078.1000000000004</v>
      </c>
    </row>
    <row r="4235" spans="1:4" x14ac:dyDescent="0.25">
      <c r="A4235" t="s">
        <v>658</v>
      </c>
      <c r="B4235" t="s">
        <v>78</v>
      </c>
      <c r="C4235" s="2">
        <f>HYPERLINK("https://sao.dolgi.msk.ru/account/1404248226/", 1404248226)</f>
        <v>1404248226</v>
      </c>
      <c r="D4235">
        <v>4542.04</v>
      </c>
    </row>
    <row r="4236" spans="1:4" hidden="1" x14ac:dyDescent="0.25">
      <c r="A4236" t="s">
        <v>658</v>
      </c>
      <c r="B4236" t="s">
        <v>79</v>
      </c>
      <c r="C4236" s="2">
        <f>HYPERLINK("https://sao.dolgi.msk.ru/account/1404246239/", 1404246239)</f>
        <v>1404246239</v>
      </c>
      <c r="D4236">
        <v>0</v>
      </c>
    </row>
    <row r="4237" spans="1:4" hidden="1" x14ac:dyDescent="0.25">
      <c r="A4237" t="s">
        <v>658</v>
      </c>
      <c r="B4237" t="s">
        <v>80</v>
      </c>
      <c r="C4237" s="2">
        <f>HYPERLINK("https://sao.dolgi.msk.ru/account/1404247952/", 1404247952)</f>
        <v>1404247952</v>
      </c>
      <c r="D4237">
        <v>0</v>
      </c>
    </row>
    <row r="4238" spans="1:4" hidden="1" x14ac:dyDescent="0.25">
      <c r="A4238" t="s">
        <v>658</v>
      </c>
      <c r="B4238" t="s">
        <v>81</v>
      </c>
      <c r="C4238" s="2">
        <f>HYPERLINK("https://sao.dolgi.msk.ru/account/1404250377/", 1404250377)</f>
        <v>1404250377</v>
      </c>
      <c r="D4238">
        <v>-6187.99</v>
      </c>
    </row>
    <row r="4239" spans="1:4" hidden="1" x14ac:dyDescent="0.25">
      <c r="A4239" t="s">
        <v>658</v>
      </c>
      <c r="B4239" t="s">
        <v>82</v>
      </c>
      <c r="C4239" s="2">
        <f>HYPERLINK("https://sao.dolgi.msk.ru/account/1404248461/", 1404248461)</f>
        <v>1404248461</v>
      </c>
      <c r="D4239">
        <v>-2539.36</v>
      </c>
    </row>
    <row r="4240" spans="1:4" hidden="1" x14ac:dyDescent="0.25">
      <c r="A4240" t="s">
        <v>658</v>
      </c>
      <c r="B4240" t="s">
        <v>83</v>
      </c>
      <c r="C4240" s="2">
        <f>HYPERLINK("https://sao.dolgi.msk.ru/account/1404248437/", 1404248437)</f>
        <v>1404248437</v>
      </c>
      <c r="D4240">
        <v>-6993.4</v>
      </c>
    </row>
    <row r="4241" spans="1:4" x14ac:dyDescent="0.25">
      <c r="A4241" t="s">
        <v>658</v>
      </c>
      <c r="B4241" t="s">
        <v>84</v>
      </c>
      <c r="C4241" s="2">
        <f>HYPERLINK("https://sao.dolgi.msk.ru/account/1404249798/", 1404249798)</f>
        <v>1404249798</v>
      </c>
      <c r="D4241">
        <v>120300.41</v>
      </c>
    </row>
    <row r="4242" spans="1:4" x14ac:dyDescent="0.25">
      <c r="A4242" t="s">
        <v>658</v>
      </c>
      <c r="B4242" t="s">
        <v>85</v>
      </c>
      <c r="C4242" s="2">
        <f>HYPERLINK("https://sao.dolgi.msk.ru/account/1404247573/", 1404247573)</f>
        <v>1404247573</v>
      </c>
      <c r="D4242">
        <v>8374.35</v>
      </c>
    </row>
    <row r="4243" spans="1:4" x14ac:dyDescent="0.25">
      <c r="A4243" t="s">
        <v>658</v>
      </c>
      <c r="B4243" t="s">
        <v>86</v>
      </c>
      <c r="C4243" s="2">
        <f>HYPERLINK("https://sao.dolgi.msk.ru/account/1404249106/", 1404249106)</f>
        <v>1404249106</v>
      </c>
      <c r="D4243">
        <v>27085.73</v>
      </c>
    </row>
    <row r="4244" spans="1:4" hidden="1" x14ac:dyDescent="0.25">
      <c r="A4244" t="s">
        <v>658</v>
      </c>
      <c r="B4244" t="s">
        <v>87</v>
      </c>
      <c r="C4244" s="2">
        <f>HYPERLINK("https://sao.dolgi.msk.ru/account/1404250422/", 1404250422)</f>
        <v>1404250422</v>
      </c>
      <c r="D4244">
        <v>0</v>
      </c>
    </row>
    <row r="4245" spans="1:4" hidden="1" x14ac:dyDescent="0.25">
      <c r="A4245" t="s">
        <v>658</v>
      </c>
      <c r="B4245" t="s">
        <v>88</v>
      </c>
      <c r="C4245" s="2">
        <f>HYPERLINK("https://sao.dolgi.msk.ru/account/1404248832/", 1404248832)</f>
        <v>1404248832</v>
      </c>
      <c r="D4245">
        <v>-6165.84</v>
      </c>
    </row>
    <row r="4246" spans="1:4" hidden="1" x14ac:dyDescent="0.25">
      <c r="A4246" t="s">
        <v>658</v>
      </c>
      <c r="B4246" t="s">
        <v>89</v>
      </c>
      <c r="C4246" s="2">
        <f>HYPERLINK("https://sao.dolgi.msk.ru/account/1404251011/", 1404251011)</f>
        <v>1404251011</v>
      </c>
      <c r="D4246">
        <v>-5817.68</v>
      </c>
    </row>
    <row r="4247" spans="1:4" x14ac:dyDescent="0.25">
      <c r="A4247" t="s">
        <v>658</v>
      </c>
      <c r="B4247" t="s">
        <v>90</v>
      </c>
      <c r="C4247" s="2">
        <f>HYPERLINK("https://sao.dolgi.msk.ru/account/1404249114/", 1404249114)</f>
        <v>1404249114</v>
      </c>
      <c r="D4247">
        <v>688.68</v>
      </c>
    </row>
    <row r="4248" spans="1:4" hidden="1" x14ac:dyDescent="0.25">
      <c r="A4248" t="s">
        <v>658</v>
      </c>
      <c r="B4248" t="s">
        <v>91</v>
      </c>
      <c r="C4248" s="2">
        <f>HYPERLINK("https://sao.dolgi.msk.ru/account/1404248891/", 1404248891)</f>
        <v>1404248891</v>
      </c>
      <c r="D4248">
        <v>-5198.78</v>
      </c>
    </row>
    <row r="4249" spans="1:4" x14ac:dyDescent="0.25">
      <c r="A4249" t="s">
        <v>658</v>
      </c>
      <c r="B4249" t="s">
        <v>92</v>
      </c>
      <c r="C4249" s="2">
        <f>HYPERLINK("https://sao.dolgi.msk.ru/account/1404247303/", 1404247303)</f>
        <v>1404247303</v>
      </c>
      <c r="D4249">
        <v>15423.49</v>
      </c>
    </row>
    <row r="4250" spans="1:4" hidden="1" x14ac:dyDescent="0.25">
      <c r="A4250" t="s">
        <v>658</v>
      </c>
      <c r="B4250" t="s">
        <v>93</v>
      </c>
      <c r="C4250" s="2">
        <f>HYPERLINK("https://sao.dolgi.msk.ru/account/1404246159/", 1404246159)</f>
        <v>1404246159</v>
      </c>
      <c r="D4250">
        <v>0</v>
      </c>
    </row>
    <row r="4251" spans="1:4" x14ac:dyDescent="0.25">
      <c r="A4251" t="s">
        <v>658</v>
      </c>
      <c r="B4251" t="s">
        <v>94</v>
      </c>
      <c r="C4251" s="2">
        <f>HYPERLINK("https://sao.dolgi.msk.ru/account/1404248867/", 1404248867)</f>
        <v>1404248867</v>
      </c>
      <c r="D4251">
        <v>23399.7</v>
      </c>
    </row>
    <row r="4252" spans="1:4" hidden="1" x14ac:dyDescent="0.25">
      <c r="A4252" t="s">
        <v>658</v>
      </c>
      <c r="B4252" t="s">
        <v>95</v>
      </c>
      <c r="C4252" s="2">
        <f>HYPERLINK("https://sao.dolgi.msk.ru/account/1404247207/", 1404247207)</f>
        <v>1404247207</v>
      </c>
      <c r="D4252">
        <v>-7483.33</v>
      </c>
    </row>
    <row r="4253" spans="1:4" hidden="1" x14ac:dyDescent="0.25">
      <c r="A4253" t="s">
        <v>658</v>
      </c>
      <c r="B4253" t="s">
        <v>96</v>
      </c>
      <c r="C4253" s="2">
        <f>HYPERLINK("https://sao.dolgi.msk.ru/account/1404247709/", 1404247709)</f>
        <v>1404247709</v>
      </c>
      <c r="D4253">
        <v>0</v>
      </c>
    </row>
    <row r="4254" spans="1:4" hidden="1" x14ac:dyDescent="0.25">
      <c r="A4254" t="s">
        <v>658</v>
      </c>
      <c r="B4254" t="s">
        <v>97</v>
      </c>
      <c r="C4254" s="2">
        <f>HYPERLINK("https://sao.dolgi.msk.ru/account/1404250406/", 1404250406)</f>
        <v>1404250406</v>
      </c>
      <c r="D4254">
        <v>-4132.24</v>
      </c>
    </row>
    <row r="4255" spans="1:4" hidden="1" x14ac:dyDescent="0.25">
      <c r="A4255" t="s">
        <v>658</v>
      </c>
      <c r="B4255" t="s">
        <v>98</v>
      </c>
      <c r="C4255" s="2">
        <f>HYPERLINK("https://sao.dolgi.msk.ru/account/1404247717/", 1404247717)</f>
        <v>1404247717</v>
      </c>
      <c r="D4255">
        <v>-6005.35</v>
      </c>
    </row>
    <row r="4256" spans="1:4" hidden="1" x14ac:dyDescent="0.25">
      <c r="A4256" t="s">
        <v>658</v>
      </c>
      <c r="B4256" t="s">
        <v>99</v>
      </c>
      <c r="C4256" s="2">
        <f>HYPERLINK("https://sao.dolgi.msk.ru/account/1404249579/", 1404249579)</f>
        <v>1404249579</v>
      </c>
      <c r="D4256">
        <v>-5160.49</v>
      </c>
    </row>
    <row r="4257" spans="1:4" hidden="1" x14ac:dyDescent="0.25">
      <c r="A4257" t="s">
        <v>658</v>
      </c>
      <c r="B4257" t="s">
        <v>100</v>
      </c>
      <c r="C4257" s="2">
        <f>HYPERLINK("https://sao.dolgi.msk.ru/account/1404248314/", 1404248314)</f>
        <v>1404248314</v>
      </c>
      <c r="D4257">
        <v>-9004.17</v>
      </c>
    </row>
    <row r="4258" spans="1:4" hidden="1" x14ac:dyDescent="0.25">
      <c r="A4258" t="s">
        <v>658</v>
      </c>
      <c r="B4258" t="s">
        <v>101</v>
      </c>
      <c r="C4258" s="2">
        <f>HYPERLINK("https://sao.dolgi.msk.ru/account/1404249069/", 1404249069)</f>
        <v>1404249069</v>
      </c>
      <c r="D4258">
        <v>-8828.5</v>
      </c>
    </row>
    <row r="4259" spans="1:4" hidden="1" x14ac:dyDescent="0.25">
      <c r="A4259" t="s">
        <v>658</v>
      </c>
      <c r="B4259" t="s">
        <v>102</v>
      </c>
      <c r="C4259" s="2">
        <f>HYPERLINK("https://sao.dolgi.msk.ru/account/1404248701/", 1404248701)</f>
        <v>1404248701</v>
      </c>
      <c r="D4259">
        <v>0</v>
      </c>
    </row>
    <row r="4260" spans="1:4" x14ac:dyDescent="0.25">
      <c r="A4260" t="s">
        <v>658</v>
      </c>
      <c r="B4260" t="s">
        <v>103</v>
      </c>
      <c r="C4260" s="2">
        <f>HYPERLINK("https://sao.dolgi.msk.ru/account/1404246933/", 1404246933)</f>
        <v>1404246933</v>
      </c>
      <c r="D4260">
        <v>25910.46</v>
      </c>
    </row>
    <row r="4261" spans="1:4" x14ac:dyDescent="0.25">
      <c r="A4261" t="s">
        <v>658</v>
      </c>
      <c r="B4261" t="s">
        <v>104</v>
      </c>
      <c r="C4261" s="2">
        <f>HYPERLINK("https://sao.dolgi.msk.ru/account/1404251089/", 1404251089)</f>
        <v>1404251089</v>
      </c>
      <c r="D4261">
        <v>6009.87</v>
      </c>
    </row>
    <row r="4262" spans="1:4" hidden="1" x14ac:dyDescent="0.25">
      <c r="A4262" t="s">
        <v>658</v>
      </c>
      <c r="B4262" t="s">
        <v>105</v>
      </c>
      <c r="C4262" s="2">
        <f>HYPERLINK("https://sao.dolgi.msk.ru/account/1404251441/", 1404251441)</f>
        <v>1404251441</v>
      </c>
      <c r="D4262">
        <v>-7907.84</v>
      </c>
    </row>
    <row r="4263" spans="1:4" hidden="1" x14ac:dyDescent="0.25">
      <c r="A4263" t="s">
        <v>658</v>
      </c>
      <c r="B4263" t="s">
        <v>106</v>
      </c>
      <c r="C4263" s="2">
        <f>HYPERLINK("https://sao.dolgi.msk.ru/account/1404247725/", 1404247725)</f>
        <v>1404247725</v>
      </c>
      <c r="D4263">
        <v>0</v>
      </c>
    </row>
    <row r="4264" spans="1:4" hidden="1" x14ac:dyDescent="0.25">
      <c r="A4264" t="s">
        <v>658</v>
      </c>
      <c r="B4264" t="s">
        <v>107</v>
      </c>
      <c r="C4264" s="2">
        <f>HYPERLINK("https://sao.dolgi.msk.ru/account/1404246087/", 1404246087)</f>
        <v>1404246087</v>
      </c>
      <c r="D4264">
        <v>-4381.82</v>
      </c>
    </row>
    <row r="4265" spans="1:4" hidden="1" x14ac:dyDescent="0.25">
      <c r="A4265" t="s">
        <v>658</v>
      </c>
      <c r="B4265" t="s">
        <v>108</v>
      </c>
      <c r="C4265" s="2">
        <f>HYPERLINK("https://sao.dolgi.msk.ru/account/1404251126/", 1404251126)</f>
        <v>1404251126</v>
      </c>
      <c r="D4265">
        <v>-4600.9799999999996</v>
      </c>
    </row>
    <row r="4266" spans="1:4" hidden="1" x14ac:dyDescent="0.25">
      <c r="A4266" t="s">
        <v>658</v>
      </c>
      <c r="B4266" t="s">
        <v>109</v>
      </c>
      <c r="C4266" s="2">
        <f>HYPERLINK("https://sao.dolgi.msk.ru/account/1404246247/", 1404246247)</f>
        <v>1404246247</v>
      </c>
      <c r="D4266">
        <v>0</v>
      </c>
    </row>
    <row r="4267" spans="1:4" hidden="1" x14ac:dyDescent="0.25">
      <c r="A4267" t="s">
        <v>658</v>
      </c>
      <c r="B4267" t="s">
        <v>110</v>
      </c>
      <c r="C4267" s="2">
        <f>HYPERLINK("https://sao.dolgi.msk.ru/account/1404250967/", 1404250967)</f>
        <v>1404250967</v>
      </c>
      <c r="D4267">
        <v>-2537.71</v>
      </c>
    </row>
    <row r="4268" spans="1:4" x14ac:dyDescent="0.25">
      <c r="A4268" t="s">
        <v>658</v>
      </c>
      <c r="B4268" t="s">
        <v>111</v>
      </c>
      <c r="C4268" s="2">
        <f>HYPERLINK("https://sao.dolgi.msk.ru/account/1404246634/", 1404246634)</f>
        <v>1404246634</v>
      </c>
      <c r="D4268">
        <v>1349.04</v>
      </c>
    </row>
    <row r="4269" spans="1:4" hidden="1" x14ac:dyDescent="0.25">
      <c r="A4269" t="s">
        <v>658</v>
      </c>
      <c r="B4269" t="s">
        <v>112</v>
      </c>
      <c r="C4269" s="2">
        <f>HYPERLINK("https://sao.dolgi.msk.ru/account/1404247741/", 1404247741)</f>
        <v>1404247741</v>
      </c>
      <c r="D4269">
        <v>-2891.48</v>
      </c>
    </row>
    <row r="4270" spans="1:4" x14ac:dyDescent="0.25">
      <c r="A4270" t="s">
        <v>658</v>
      </c>
      <c r="B4270" t="s">
        <v>113</v>
      </c>
      <c r="C4270" s="2">
        <f>HYPERLINK("https://sao.dolgi.msk.ru/account/1404250561/", 1404250561)</f>
        <v>1404250561</v>
      </c>
      <c r="D4270">
        <v>6265.36</v>
      </c>
    </row>
    <row r="4271" spans="1:4" hidden="1" x14ac:dyDescent="0.25">
      <c r="A4271" t="s">
        <v>658</v>
      </c>
      <c r="B4271" t="s">
        <v>114</v>
      </c>
      <c r="C4271" s="2">
        <f>HYPERLINK("https://sao.dolgi.msk.ru/account/1404248058/", 1404248058)</f>
        <v>1404248058</v>
      </c>
      <c r="D4271">
        <v>0</v>
      </c>
    </row>
    <row r="4272" spans="1:4" hidden="1" x14ac:dyDescent="0.25">
      <c r="A4272" t="s">
        <v>658</v>
      </c>
      <c r="B4272" t="s">
        <v>115</v>
      </c>
      <c r="C4272" s="2">
        <f>HYPERLINK("https://sao.dolgi.msk.ru/account/1404248285/", 1404248285)</f>
        <v>1404248285</v>
      </c>
      <c r="D4272">
        <v>0</v>
      </c>
    </row>
    <row r="4273" spans="1:4" hidden="1" x14ac:dyDescent="0.25">
      <c r="A4273" t="s">
        <v>658</v>
      </c>
      <c r="B4273" t="s">
        <v>116</v>
      </c>
      <c r="C4273" s="2">
        <f>HYPERLINK("https://sao.dolgi.msk.ru/account/1404249915/", 1404249915)</f>
        <v>1404249915</v>
      </c>
      <c r="D4273">
        <v>-6457.39</v>
      </c>
    </row>
    <row r="4274" spans="1:4" hidden="1" x14ac:dyDescent="0.25">
      <c r="A4274" t="s">
        <v>658</v>
      </c>
      <c r="B4274" t="s">
        <v>117</v>
      </c>
      <c r="C4274" s="2">
        <f>HYPERLINK("https://sao.dolgi.msk.ru/account/1404246124/", 1404246124)</f>
        <v>1404246124</v>
      </c>
      <c r="D4274">
        <v>-4662.47</v>
      </c>
    </row>
    <row r="4275" spans="1:4" hidden="1" x14ac:dyDescent="0.25">
      <c r="A4275" t="s">
        <v>658</v>
      </c>
      <c r="B4275" t="s">
        <v>118</v>
      </c>
      <c r="C4275" s="2">
        <f>HYPERLINK("https://sao.dolgi.msk.ru/account/1404249085/", 1404249085)</f>
        <v>1404249085</v>
      </c>
      <c r="D4275">
        <v>-5351</v>
      </c>
    </row>
    <row r="4276" spans="1:4" hidden="1" x14ac:dyDescent="0.25">
      <c r="A4276" t="s">
        <v>658</v>
      </c>
      <c r="B4276" t="s">
        <v>119</v>
      </c>
      <c r="C4276" s="2">
        <f>HYPERLINK("https://sao.dolgi.msk.ru/account/1404246503/", 1404246503)</f>
        <v>1404246503</v>
      </c>
      <c r="D4276">
        <v>-6679.19</v>
      </c>
    </row>
    <row r="4277" spans="1:4" hidden="1" x14ac:dyDescent="0.25">
      <c r="A4277" t="s">
        <v>658</v>
      </c>
      <c r="B4277" t="s">
        <v>120</v>
      </c>
      <c r="C4277" s="2">
        <f>HYPERLINK("https://sao.dolgi.msk.ru/account/1404250297/", 1404250297)</f>
        <v>1404250297</v>
      </c>
      <c r="D4277">
        <v>0</v>
      </c>
    </row>
    <row r="4278" spans="1:4" hidden="1" x14ac:dyDescent="0.25">
      <c r="A4278" t="s">
        <v>658</v>
      </c>
      <c r="B4278" t="s">
        <v>121</v>
      </c>
      <c r="C4278" s="2">
        <f>HYPERLINK("https://sao.dolgi.msk.ru/account/1404248736/", 1404248736)</f>
        <v>1404248736</v>
      </c>
      <c r="D4278">
        <v>-879.82</v>
      </c>
    </row>
    <row r="4279" spans="1:4" hidden="1" x14ac:dyDescent="0.25">
      <c r="A4279" t="s">
        <v>658</v>
      </c>
      <c r="B4279" t="s">
        <v>122</v>
      </c>
      <c r="C4279" s="2">
        <f>HYPERLINK("https://sao.dolgi.msk.ru/account/1404247063/", 1404247063)</f>
        <v>1404247063</v>
      </c>
      <c r="D4279">
        <v>-284.52</v>
      </c>
    </row>
    <row r="4280" spans="1:4" x14ac:dyDescent="0.25">
      <c r="A4280" t="s">
        <v>658</v>
      </c>
      <c r="B4280" t="s">
        <v>123</v>
      </c>
      <c r="C4280" s="2">
        <f>HYPERLINK("https://sao.dolgi.msk.ru/account/1404249982/", 1404249982)</f>
        <v>1404249982</v>
      </c>
      <c r="D4280">
        <v>9477.67</v>
      </c>
    </row>
    <row r="4281" spans="1:4" x14ac:dyDescent="0.25">
      <c r="A4281" t="s">
        <v>658</v>
      </c>
      <c r="B4281" t="s">
        <v>124</v>
      </c>
      <c r="C4281" s="2">
        <f>HYPERLINK("https://sao.dolgi.msk.ru/account/1404250668/", 1404250668)</f>
        <v>1404250668</v>
      </c>
      <c r="D4281">
        <v>2100.96</v>
      </c>
    </row>
    <row r="4282" spans="1:4" hidden="1" x14ac:dyDescent="0.25">
      <c r="A4282" t="s">
        <v>658</v>
      </c>
      <c r="B4282" t="s">
        <v>125</v>
      </c>
      <c r="C4282" s="2">
        <f>HYPERLINK("https://sao.dolgi.msk.ru/account/1404250115/", 1404250115)</f>
        <v>1404250115</v>
      </c>
      <c r="D4282">
        <v>-4187.53</v>
      </c>
    </row>
    <row r="4283" spans="1:4" hidden="1" x14ac:dyDescent="0.25">
      <c r="A4283" t="s">
        <v>658</v>
      </c>
      <c r="B4283" t="s">
        <v>126</v>
      </c>
      <c r="C4283" s="2">
        <f>HYPERLINK("https://sao.dolgi.msk.ru/account/1404247872/", 1404247872)</f>
        <v>1404247872</v>
      </c>
      <c r="D4283">
        <v>0</v>
      </c>
    </row>
    <row r="4284" spans="1:4" hidden="1" x14ac:dyDescent="0.25">
      <c r="A4284" t="s">
        <v>658</v>
      </c>
      <c r="B4284" t="s">
        <v>127</v>
      </c>
      <c r="C4284" s="2">
        <f>HYPERLINK("https://sao.dolgi.msk.ru/account/1404246394/", 1404246394)</f>
        <v>1404246394</v>
      </c>
      <c r="D4284">
        <v>0</v>
      </c>
    </row>
    <row r="4285" spans="1:4" x14ac:dyDescent="0.25">
      <c r="A4285" t="s">
        <v>658</v>
      </c>
      <c r="B4285" t="s">
        <v>128</v>
      </c>
      <c r="C4285" s="2">
        <f>HYPERLINK("https://sao.dolgi.msk.ru/account/1404249384/", 1404249384)</f>
        <v>1404249384</v>
      </c>
      <c r="D4285">
        <v>10777.58</v>
      </c>
    </row>
    <row r="4286" spans="1:4" hidden="1" x14ac:dyDescent="0.25">
      <c r="A4286" t="s">
        <v>658</v>
      </c>
      <c r="B4286" t="s">
        <v>129</v>
      </c>
      <c r="C4286" s="2">
        <f>HYPERLINK("https://sao.dolgi.msk.ru/account/1404250174/", 1404250174)</f>
        <v>1404250174</v>
      </c>
      <c r="D4286">
        <v>-7920.61</v>
      </c>
    </row>
    <row r="4287" spans="1:4" hidden="1" x14ac:dyDescent="0.25">
      <c r="A4287" t="s">
        <v>658</v>
      </c>
      <c r="B4287" t="s">
        <v>130</v>
      </c>
      <c r="C4287" s="2">
        <f>HYPERLINK("https://sao.dolgi.msk.ru/account/1404247418/", 1404247418)</f>
        <v>1404247418</v>
      </c>
      <c r="D4287">
        <v>-7580.05</v>
      </c>
    </row>
    <row r="4288" spans="1:4" hidden="1" x14ac:dyDescent="0.25">
      <c r="A4288" t="s">
        <v>658</v>
      </c>
      <c r="B4288" t="s">
        <v>131</v>
      </c>
      <c r="C4288" s="2">
        <f>HYPERLINK("https://sao.dolgi.msk.ru/account/1404248533/", 1404248533)</f>
        <v>1404248533</v>
      </c>
      <c r="D4288">
        <v>-1406.99</v>
      </c>
    </row>
    <row r="4289" spans="1:4" hidden="1" x14ac:dyDescent="0.25">
      <c r="A4289" t="s">
        <v>658</v>
      </c>
      <c r="B4289" t="s">
        <v>132</v>
      </c>
      <c r="C4289" s="2">
        <f>HYPERLINK("https://sao.dolgi.msk.ru/account/1404247194/", 1404247194)</f>
        <v>1404247194</v>
      </c>
      <c r="D4289">
        <v>-3440.62</v>
      </c>
    </row>
    <row r="4290" spans="1:4" hidden="1" x14ac:dyDescent="0.25">
      <c r="A4290" t="s">
        <v>658</v>
      </c>
      <c r="B4290" t="s">
        <v>133</v>
      </c>
      <c r="C4290" s="2">
        <f>HYPERLINK("https://sao.dolgi.msk.ru/account/1404249296/", 1404249296)</f>
        <v>1404249296</v>
      </c>
      <c r="D4290">
        <v>-8201.92</v>
      </c>
    </row>
    <row r="4291" spans="1:4" hidden="1" x14ac:dyDescent="0.25">
      <c r="A4291" t="s">
        <v>658</v>
      </c>
      <c r="B4291" t="s">
        <v>134</v>
      </c>
      <c r="C4291" s="2">
        <f>HYPERLINK("https://sao.dolgi.msk.ru/account/1404249034/", 1404249034)</f>
        <v>1404249034</v>
      </c>
      <c r="D4291">
        <v>-7576.63</v>
      </c>
    </row>
    <row r="4292" spans="1:4" x14ac:dyDescent="0.25">
      <c r="A4292" t="s">
        <v>658</v>
      </c>
      <c r="B4292" t="s">
        <v>135</v>
      </c>
      <c r="C4292" s="2">
        <f>HYPERLINK("https://sao.dolgi.msk.ru/account/1404249528/", 1404249528)</f>
        <v>1404249528</v>
      </c>
      <c r="D4292">
        <v>36045.53</v>
      </c>
    </row>
    <row r="4293" spans="1:4" hidden="1" x14ac:dyDescent="0.25">
      <c r="A4293" t="s">
        <v>658</v>
      </c>
      <c r="B4293" t="s">
        <v>136</v>
      </c>
      <c r="C4293" s="2">
        <f>HYPERLINK("https://sao.dolgi.msk.ru/account/1404247397/", 1404247397)</f>
        <v>1404247397</v>
      </c>
      <c r="D4293">
        <v>-3567.28</v>
      </c>
    </row>
    <row r="4294" spans="1:4" hidden="1" x14ac:dyDescent="0.25">
      <c r="A4294" t="s">
        <v>658</v>
      </c>
      <c r="B4294" t="s">
        <v>137</v>
      </c>
      <c r="C4294" s="2">
        <f>HYPERLINK("https://sao.dolgi.msk.ru/account/1404245922/", 1404245922)</f>
        <v>1404245922</v>
      </c>
      <c r="D4294">
        <v>0</v>
      </c>
    </row>
    <row r="4295" spans="1:4" hidden="1" x14ac:dyDescent="0.25">
      <c r="A4295" t="s">
        <v>658</v>
      </c>
      <c r="B4295" t="s">
        <v>138</v>
      </c>
      <c r="C4295" s="2">
        <f>HYPERLINK("https://sao.dolgi.msk.ru/account/1404247733/", 1404247733)</f>
        <v>1404247733</v>
      </c>
      <c r="D4295">
        <v>0</v>
      </c>
    </row>
    <row r="4296" spans="1:4" x14ac:dyDescent="0.25">
      <c r="A4296" t="s">
        <v>658</v>
      </c>
      <c r="B4296" t="s">
        <v>139</v>
      </c>
      <c r="C4296" s="2">
        <f>HYPERLINK("https://sao.dolgi.msk.ru/account/1404250836/", 1404250836)</f>
        <v>1404250836</v>
      </c>
      <c r="D4296">
        <v>34313.5</v>
      </c>
    </row>
    <row r="4297" spans="1:4" hidden="1" x14ac:dyDescent="0.25">
      <c r="A4297" t="s">
        <v>658</v>
      </c>
      <c r="B4297" t="s">
        <v>140</v>
      </c>
      <c r="C4297" s="2">
        <f>HYPERLINK("https://sao.dolgi.msk.ru/account/1404246845/", 1404246845)</f>
        <v>1404246845</v>
      </c>
      <c r="D4297">
        <v>-4643.3599999999997</v>
      </c>
    </row>
    <row r="4298" spans="1:4" x14ac:dyDescent="0.25">
      <c r="A4298" t="s">
        <v>658</v>
      </c>
      <c r="B4298" t="s">
        <v>141</v>
      </c>
      <c r="C4298" s="2">
        <f>HYPERLINK("https://sao.dolgi.msk.ru/account/1404251257/", 1404251257)</f>
        <v>1404251257</v>
      </c>
      <c r="D4298">
        <v>7531.37</v>
      </c>
    </row>
    <row r="4299" spans="1:4" hidden="1" x14ac:dyDescent="0.25">
      <c r="A4299" t="s">
        <v>658</v>
      </c>
      <c r="B4299" t="s">
        <v>142</v>
      </c>
      <c r="C4299" s="2">
        <f>HYPERLINK("https://sao.dolgi.msk.ru/account/1404249501/", 1404249501)</f>
        <v>1404249501</v>
      </c>
      <c r="D4299">
        <v>-2648.77</v>
      </c>
    </row>
    <row r="4300" spans="1:4" x14ac:dyDescent="0.25">
      <c r="A4300" t="s">
        <v>658</v>
      </c>
      <c r="B4300" t="s">
        <v>143</v>
      </c>
      <c r="C4300" s="2">
        <f>HYPERLINK("https://sao.dolgi.msk.ru/account/1404248672/", 1404248672)</f>
        <v>1404248672</v>
      </c>
      <c r="D4300">
        <v>46426.35</v>
      </c>
    </row>
    <row r="4301" spans="1:4" hidden="1" x14ac:dyDescent="0.25">
      <c r="A4301" t="s">
        <v>658</v>
      </c>
      <c r="B4301" t="s">
        <v>144</v>
      </c>
      <c r="C4301" s="2">
        <f>HYPERLINK("https://sao.dolgi.msk.ru/account/1404248402/", 1404248402)</f>
        <v>1404248402</v>
      </c>
      <c r="D4301">
        <v>-6456.1</v>
      </c>
    </row>
    <row r="4302" spans="1:4" hidden="1" x14ac:dyDescent="0.25">
      <c r="A4302" t="s">
        <v>658</v>
      </c>
      <c r="B4302" t="s">
        <v>145</v>
      </c>
      <c r="C4302" s="2">
        <f>HYPERLINK("https://sao.dolgi.msk.ru/account/1404248576/", 1404248576)</f>
        <v>1404248576</v>
      </c>
      <c r="D4302">
        <v>-6734.65</v>
      </c>
    </row>
    <row r="4303" spans="1:4" x14ac:dyDescent="0.25">
      <c r="A4303" t="s">
        <v>658</v>
      </c>
      <c r="B4303" t="s">
        <v>146</v>
      </c>
      <c r="C4303" s="2">
        <f>HYPERLINK("https://sao.dolgi.msk.ru/account/1404246941/", 1404246941)</f>
        <v>1404246941</v>
      </c>
      <c r="D4303">
        <v>8905.02</v>
      </c>
    </row>
    <row r="4304" spans="1:4" x14ac:dyDescent="0.25">
      <c r="A4304" t="s">
        <v>658</v>
      </c>
      <c r="B4304" t="s">
        <v>147</v>
      </c>
      <c r="C4304" s="2">
        <f>HYPERLINK("https://sao.dolgi.msk.ru/account/1404251417/", 1404251417)</f>
        <v>1404251417</v>
      </c>
      <c r="D4304">
        <v>5302.81</v>
      </c>
    </row>
    <row r="4305" spans="1:4" x14ac:dyDescent="0.25">
      <c r="A4305" t="s">
        <v>658</v>
      </c>
      <c r="B4305" t="s">
        <v>148</v>
      </c>
      <c r="C4305" s="2">
        <f>HYPERLINK("https://sao.dolgi.msk.ru/account/1404246589/", 1404246589)</f>
        <v>1404246589</v>
      </c>
      <c r="D4305">
        <v>52823.7</v>
      </c>
    </row>
    <row r="4306" spans="1:4" x14ac:dyDescent="0.25">
      <c r="A4306" t="s">
        <v>658</v>
      </c>
      <c r="B4306" t="s">
        <v>148</v>
      </c>
      <c r="C4306" s="2">
        <f>HYPERLINK("https://sao.dolgi.msk.ru/account/1404250158/", 1404250158)</f>
        <v>1404250158</v>
      </c>
      <c r="D4306">
        <v>10946.06</v>
      </c>
    </row>
    <row r="4307" spans="1:4" x14ac:dyDescent="0.25">
      <c r="A4307" t="s">
        <v>658</v>
      </c>
      <c r="B4307" t="s">
        <v>149</v>
      </c>
      <c r="C4307" s="2">
        <f>HYPERLINK("https://sao.dolgi.msk.ru/account/1404249659/", 1404249659)</f>
        <v>1404249659</v>
      </c>
      <c r="D4307">
        <v>54439.19</v>
      </c>
    </row>
    <row r="4308" spans="1:4" hidden="1" x14ac:dyDescent="0.25">
      <c r="A4308" t="s">
        <v>658</v>
      </c>
      <c r="B4308" t="s">
        <v>150</v>
      </c>
      <c r="C4308" s="2">
        <f>HYPERLINK("https://sao.dolgi.msk.ru/account/1404250756/", 1404250756)</f>
        <v>1404250756</v>
      </c>
      <c r="D4308">
        <v>-6613.22</v>
      </c>
    </row>
    <row r="4309" spans="1:4" hidden="1" x14ac:dyDescent="0.25">
      <c r="A4309" t="s">
        <v>658</v>
      </c>
      <c r="B4309" t="s">
        <v>151</v>
      </c>
      <c r="C4309" s="2">
        <f>HYPERLINK("https://sao.dolgi.msk.ru/account/1404247071/", 1404247071)</f>
        <v>1404247071</v>
      </c>
      <c r="D4309">
        <v>-3817.72</v>
      </c>
    </row>
    <row r="4310" spans="1:4" hidden="1" x14ac:dyDescent="0.25">
      <c r="A4310" t="s">
        <v>658</v>
      </c>
      <c r="B4310" t="s">
        <v>152</v>
      </c>
      <c r="C4310" s="2">
        <f>HYPERLINK("https://sao.dolgi.msk.ru/account/1404251142/", 1404251142)</f>
        <v>1404251142</v>
      </c>
      <c r="D4310">
        <v>-5087.97</v>
      </c>
    </row>
    <row r="4311" spans="1:4" hidden="1" x14ac:dyDescent="0.25">
      <c r="A4311" t="s">
        <v>658</v>
      </c>
      <c r="B4311" t="s">
        <v>153</v>
      </c>
      <c r="C4311" s="2">
        <f>HYPERLINK("https://sao.dolgi.msk.ru/account/1404245973/", 1404245973)</f>
        <v>1404245973</v>
      </c>
      <c r="D4311">
        <v>0</v>
      </c>
    </row>
    <row r="4312" spans="1:4" hidden="1" x14ac:dyDescent="0.25">
      <c r="A4312" t="s">
        <v>658</v>
      </c>
      <c r="B4312" t="s">
        <v>154</v>
      </c>
      <c r="C4312" s="2">
        <f>HYPERLINK("https://sao.dolgi.msk.ru/account/1404247311/", 1404247311)</f>
        <v>1404247311</v>
      </c>
      <c r="D4312">
        <v>-5388.56</v>
      </c>
    </row>
    <row r="4313" spans="1:4" hidden="1" x14ac:dyDescent="0.25">
      <c r="A4313" t="s">
        <v>658</v>
      </c>
      <c r="B4313" t="s">
        <v>155</v>
      </c>
      <c r="C4313" s="2">
        <f>HYPERLINK("https://sao.dolgi.msk.ru/account/1404246474/", 1404246474)</f>
        <v>1404246474</v>
      </c>
      <c r="D4313">
        <v>-5000.87</v>
      </c>
    </row>
    <row r="4314" spans="1:4" hidden="1" x14ac:dyDescent="0.25">
      <c r="A4314" t="s">
        <v>658</v>
      </c>
      <c r="B4314" t="s">
        <v>156</v>
      </c>
      <c r="C4314" s="2">
        <f>HYPERLINK("https://sao.dolgi.msk.ru/account/1404248859/", 1404248859)</f>
        <v>1404248859</v>
      </c>
      <c r="D4314">
        <v>-6018.76</v>
      </c>
    </row>
    <row r="4315" spans="1:4" x14ac:dyDescent="0.25">
      <c r="A4315" t="s">
        <v>658</v>
      </c>
      <c r="B4315" t="s">
        <v>157</v>
      </c>
      <c r="C4315" s="2">
        <f>HYPERLINK("https://sao.dolgi.msk.ru/account/1404249018/", 1404249018)</f>
        <v>1404249018</v>
      </c>
      <c r="D4315">
        <v>2331.4699999999998</v>
      </c>
    </row>
    <row r="4316" spans="1:4" hidden="1" x14ac:dyDescent="0.25">
      <c r="A4316" t="s">
        <v>658</v>
      </c>
      <c r="B4316" t="s">
        <v>158</v>
      </c>
      <c r="C4316" s="2">
        <f>HYPERLINK("https://sao.dolgi.msk.ru/account/1404246378/", 1404246378)</f>
        <v>1404246378</v>
      </c>
      <c r="D4316">
        <v>0</v>
      </c>
    </row>
    <row r="4317" spans="1:4" hidden="1" x14ac:dyDescent="0.25">
      <c r="A4317" t="s">
        <v>658</v>
      </c>
      <c r="B4317" t="s">
        <v>159</v>
      </c>
      <c r="C4317" s="2">
        <f>HYPERLINK("https://sao.dolgi.msk.ru/account/1404250748/", 1404250748)</f>
        <v>1404250748</v>
      </c>
      <c r="D4317">
        <v>-7155.13</v>
      </c>
    </row>
    <row r="4318" spans="1:4" hidden="1" x14ac:dyDescent="0.25">
      <c r="A4318" t="s">
        <v>658</v>
      </c>
      <c r="B4318" t="s">
        <v>160</v>
      </c>
      <c r="C4318" s="2">
        <f>HYPERLINK("https://sao.dolgi.msk.ru/account/1404247565/", 1404247565)</f>
        <v>1404247565</v>
      </c>
      <c r="D4318">
        <v>-4809.05</v>
      </c>
    </row>
    <row r="4319" spans="1:4" hidden="1" x14ac:dyDescent="0.25">
      <c r="A4319" t="s">
        <v>658</v>
      </c>
      <c r="B4319" t="s">
        <v>161</v>
      </c>
      <c r="C4319" s="2">
        <f>HYPERLINK("https://sao.dolgi.msk.ru/account/1404248939/", 1404248939)</f>
        <v>1404248939</v>
      </c>
      <c r="D4319">
        <v>-6551.59</v>
      </c>
    </row>
    <row r="4320" spans="1:4" x14ac:dyDescent="0.25">
      <c r="A4320" t="s">
        <v>658</v>
      </c>
      <c r="B4320" t="s">
        <v>162</v>
      </c>
      <c r="C4320" s="2">
        <f>HYPERLINK("https://sao.dolgi.msk.ru/account/1404250983/", 1404250983)</f>
        <v>1404250983</v>
      </c>
      <c r="D4320">
        <v>7149.9</v>
      </c>
    </row>
    <row r="4321" spans="1:4" x14ac:dyDescent="0.25">
      <c r="A4321" t="s">
        <v>658</v>
      </c>
      <c r="B4321" t="s">
        <v>163</v>
      </c>
      <c r="C4321" s="2">
        <f>HYPERLINK("https://sao.dolgi.msk.ru/account/1404248584/", 1404248584)</f>
        <v>1404248584</v>
      </c>
      <c r="D4321">
        <v>22595.24</v>
      </c>
    </row>
    <row r="4322" spans="1:4" hidden="1" x14ac:dyDescent="0.25">
      <c r="A4322" t="s">
        <v>658</v>
      </c>
      <c r="B4322" t="s">
        <v>164</v>
      </c>
      <c r="C4322" s="2">
        <f>HYPERLINK("https://sao.dolgi.msk.ru/account/1404247848/", 1404247848)</f>
        <v>1404247848</v>
      </c>
      <c r="D4322">
        <v>-0.01</v>
      </c>
    </row>
    <row r="4323" spans="1:4" hidden="1" x14ac:dyDescent="0.25">
      <c r="A4323" t="s">
        <v>658</v>
      </c>
      <c r="B4323" t="s">
        <v>165</v>
      </c>
      <c r="C4323" s="2">
        <f>HYPERLINK("https://sao.dolgi.msk.ru/account/1404249966/", 1404249966)</f>
        <v>1404249966</v>
      </c>
      <c r="D4323">
        <v>-6629.22</v>
      </c>
    </row>
    <row r="4324" spans="1:4" hidden="1" x14ac:dyDescent="0.25">
      <c r="A4324" t="s">
        <v>658</v>
      </c>
      <c r="B4324" t="s">
        <v>166</v>
      </c>
      <c r="C4324" s="2">
        <f>HYPERLINK("https://sao.dolgi.msk.ru/account/1404250465/", 1404250465)</f>
        <v>1404250465</v>
      </c>
      <c r="D4324">
        <v>0</v>
      </c>
    </row>
    <row r="4325" spans="1:4" x14ac:dyDescent="0.25">
      <c r="A4325" t="s">
        <v>658</v>
      </c>
      <c r="B4325" t="s">
        <v>167</v>
      </c>
      <c r="C4325" s="2">
        <f>HYPERLINK("https://sao.dolgi.msk.ru/account/1404249026/", 1404249026)</f>
        <v>1404249026</v>
      </c>
      <c r="D4325">
        <v>43824.49</v>
      </c>
    </row>
    <row r="4326" spans="1:4" hidden="1" x14ac:dyDescent="0.25">
      <c r="A4326" t="s">
        <v>658</v>
      </c>
      <c r="B4326" t="s">
        <v>168</v>
      </c>
      <c r="C4326" s="2">
        <f>HYPERLINK("https://sao.dolgi.msk.ru/account/1404247936/", 1404247936)</f>
        <v>1404247936</v>
      </c>
      <c r="D4326">
        <v>-7260.83</v>
      </c>
    </row>
    <row r="4327" spans="1:4" hidden="1" x14ac:dyDescent="0.25">
      <c r="A4327" t="s">
        <v>658</v>
      </c>
      <c r="B4327" t="s">
        <v>169</v>
      </c>
      <c r="C4327" s="2">
        <f>HYPERLINK("https://sao.dolgi.msk.ru/account/1404249333/", 1404249333)</f>
        <v>1404249333</v>
      </c>
      <c r="D4327">
        <v>-7650.56</v>
      </c>
    </row>
    <row r="4328" spans="1:4" hidden="1" x14ac:dyDescent="0.25">
      <c r="A4328" t="s">
        <v>658</v>
      </c>
      <c r="B4328" t="s">
        <v>170</v>
      </c>
      <c r="C4328" s="2">
        <f>HYPERLINK("https://sao.dolgi.msk.ru/account/1404247696/", 1404247696)</f>
        <v>1404247696</v>
      </c>
      <c r="D4328">
        <v>-3162.5</v>
      </c>
    </row>
    <row r="4329" spans="1:4" hidden="1" x14ac:dyDescent="0.25">
      <c r="A4329" t="s">
        <v>658</v>
      </c>
      <c r="B4329" t="s">
        <v>171</v>
      </c>
      <c r="C4329" s="2">
        <f>HYPERLINK("https://sao.dolgi.msk.ru/account/1404250123/", 1404250123)</f>
        <v>1404250123</v>
      </c>
      <c r="D4329">
        <v>-8640.59</v>
      </c>
    </row>
    <row r="4330" spans="1:4" hidden="1" x14ac:dyDescent="0.25">
      <c r="A4330" t="s">
        <v>658</v>
      </c>
      <c r="B4330" t="s">
        <v>172</v>
      </c>
      <c r="C4330" s="2">
        <f>HYPERLINK("https://sao.dolgi.msk.ru/account/1404247274/", 1404247274)</f>
        <v>1404247274</v>
      </c>
      <c r="D4330">
        <v>-5435.57</v>
      </c>
    </row>
    <row r="4331" spans="1:4" hidden="1" x14ac:dyDescent="0.25">
      <c r="A4331" t="s">
        <v>658</v>
      </c>
      <c r="B4331" t="s">
        <v>173</v>
      </c>
      <c r="C4331" s="2">
        <f>HYPERLINK("https://sao.dolgi.msk.ru/account/1404248971/", 1404248971)</f>
        <v>1404248971</v>
      </c>
      <c r="D4331">
        <v>-7023.86</v>
      </c>
    </row>
    <row r="4332" spans="1:4" hidden="1" x14ac:dyDescent="0.25">
      <c r="A4332" t="s">
        <v>658</v>
      </c>
      <c r="B4332" t="s">
        <v>174</v>
      </c>
      <c r="C4332" s="2">
        <f>HYPERLINK("https://sao.dolgi.msk.ru/account/1404250609/", 1404250609)</f>
        <v>1404250609</v>
      </c>
      <c r="D4332">
        <v>-4333.8</v>
      </c>
    </row>
    <row r="4333" spans="1:4" x14ac:dyDescent="0.25">
      <c r="A4333" t="s">
        <v>658</v>
      </c>
      <c r="B4333" t="s">
        <v>175</v>
      </c>
      <c r="C4333" s="2">
        <f>HYPERLINK("https://sao.dolgi.msk.ru/account/1404249325/", 1404249325)</f>
        <v>1404249325</v>
      </c>
      <c r="D4333">
        <v>1351.45</v>
      </c>
    </row>
    <row r="4334" spans="1:4" x14ac:dyDescent="0.25">
      <c r="A4334" t="s">
        <v>658</v>
      </c>
      <c r="B4334" t="s">
        <v>176</v>
      </c>
      <c r="C4334" s="2">
        <f>HYPERLINK("https://sao.dolgi.msk.ru/account/1404249683/", 1404249683)</f>
        <v>1404249683</v>
      </c>
      <c r="D4334">
        <v>6732.91</v>
      </c>
    </row>
    <row r="4335" spans="1:4" hidden="1" x14ac:dyDescent="0.25">
      <c r="A4335" t="s">
        <v>658</v>
      </c>
      <c r="B4335" t="s">
        <v>177</v>
      </c>
      <c r="C4335" s="2">
        <f>HYPERLINK("https://sao.dolgi.msk.ru/account/1404248453/", 1404248453)</f>
        <v>1404248453</v>
      </c>
      <c r="D4335">
        <v>0</v>
      </c>
    </row>
    <row r="4336" spans="1:4" hidden="1" x14ac:dyDescent="0.25">
      <c r="A4336" t="s">
        <v>658</v>
      </c>
      <c r="B4336" t="s">
        <v>178</v>
      </c>
      <c r="C4336" s="2">
        <f>HYPERLINK("https://sao.dolgi.msk.ru/account/1404246896/", 1404246896)</f>
        <v>1404246896</v>
      </c>
      <c r="D4336">
        <v>-8132.62</v>
      </c>
    </row>
    <row r="4337" spans="1:4" x14ac:dyDescent="0.25">
      <c r="A4337" t="s">
        <v>658</v>
      </c>
      <c r="B4337" t="s">
        <v>179</v>
      </c>
      <c r="C4337" s="2">
        <f>HYPERLINK("https://sao.dolgi.msk.ru/account/1404248242/", 1404248242)</f>
        <v>1404248242</v>
      </c>
      <c r="D4337">
        <v>65101.19</v>
      </c>
    </row>
    <row r="4338" spans="1:4" x14ac:dyDescent="0.25">
      <c r="A4338" t="s">
        <v>658</v>
      </c>
      <c r="B4338" t="s">
        <v>180</v>
      </c>
      <c r="C4338" s="2">
        <f>HYPERLINK("https://sao.dolgi.msk.ru/account/1404249608/", 1404249608)</f>
        <v>1404249608</v>
      </c>
      <c r="D4338">
        <v>50441.24</v>
      </c>
    </row>
    <row r="4339" spans="1:4" x14ac:dyDescent="0.25">
      <c r="A4339" t="s">
        <v>658</v>
      </c>
      <c r="B4339" t="s">
        <v>181</v>
      </c>
      <c r="C4339" s="2">
        <f>HYPERLINK("https://sao.dolgi.msk.ru/account/1404248883/", 1404248883)</f>
        <v>1404248883</v>
      </c>
      <c r="D4339">
        <v>7087.43</v>
      </c>
    </row>
    <row r="4340" spans="1:4" hidden="1" x14ac:dyDescent="0.25">
      <c r="A4340" t="s">
        <v>658</v>
      </c>
      <c r="B4340" t="s">
        <v>182</v>
      </c>
      <c r="C4340" s="2">
        <f>HYPERLINK("https://sao.dolgi.msk.ru/account/1404248322/", 1404248322)</f>
        <v>1404248322</v>
      </c>
      <c r="D4340">
        <v>-4704.07</v>
      </c>
    </row>
    <row r="4341" spans="1:4" x14ac:dyDescent="0.25">
      <c r="A4341" t="s">
        <v>658</v>
      </c>
      <c r="B4341" t="s">
        <v>183</v>
      </c>
      <c r="C4341" s="2">
        <f>HYPERLINK("https://sao.dolgi.msk.ru/account/1404245914/", 1404245914)</f>
        <v>1404245914</v>
      </c>
      <c r="D4341">
        <v>127.77</v>
      </c>
    </row>
    <row r="4342" spans="1:4" hidden="1" x14ac:dyDescent="0.25">
      <c r="A4342" t="s">
        <v>658</v>
      </c>
      <c r="B4342" t="s">
        <v>184</v>
      </c>
      <c r="C4342" s="2">
        <f>HYPERLINK("https://sao.dolgi.msk.ru/account/1404249587/", 1404249587)</f>
        <v>1404249587</v>
      </c>
      <c r="D4342">
        <v>-5970.81</v>
      </c>
    </row>
    <row r="4343" spans="1:4" hidden="1" x14ac:dyDescent="0.25">
      <c r="A4343" t="s">
        <v>658</v>
      </c>
      <c r="B4343" t="s">
        <v>185</v>
      </c>
      <c r="C4343" s="2">
        <f>HYPERLINK("https://sao.dolgi.msk.ru/account/1404246562/", 1404246562)</f>
        <v>1404246562</v>
      </c>
      <c r="D4343">
        <v>0</v>
      </c>
    </row>
    <row r="4344" spans="1:4" hidden="1" x14ac:dyDescent="0.25">
      <c r="A4344" t="s">
        <v>658</v>
      </c>
      <c r="B4344" t="s">
        <v>186</v>
      </c>
      <c r="C4344" s="2">
        <f>HYPERLINK("https://sao.dolgi.msk.ru/account/1404249624/", 1404249624)</f>
        <v>1404249624</v>
      </c>
      <c r="D4344">
        <v>-4715.1499999999996</v>
      </c>
    </row>
    <row r="4345" spans="1:4" hidden="1" x14ac:dyDescent="0.25">
      <c r="A4345" t="s">
        <v>658</v>
      </c>
      <c r="B4345" t="s">
        <v>187</v>
      </c>
      <c r="C4345" s="2">
        <f>HYPERLINK("https://sao.dolgi.msk.ru/account/1404250991/", 1404250991)</f>
        <v>1404250991</v>
      </c>
      <c r="D4345">
        <v>-5375.56</v>
      </c>
    </row>
    <row r="4346" spans="1:4" x14ac:dyDescent="0.25">
      <c r="A4346" t="s">
        <v>658</v>
      </c>
      <c r="B4346" t="s">
        <v>188</v>
      </c>
      <c r="C4346" s="2">
        <f>HYPERLINK("https://sao.dolgi.msk.ru/account/1404246618/", 1404246618)</f>
        <v>1404246618</v>
      </c>
      <c r="D4346">
        <v>8130.96</v>
      </c>
    </row>
    <row r="4347" spans="1:4" x14ac:dyDescent="0.25">
      <c r="A4347" t="s">
        <v>658</v>
      </c>
      <c r="B4347" t="s">
        <v>189</v>
      </c>
      <c r="C4347" s="2">
        <f>HYPERLINK("https://sao.dolgi.msk.ru/account/1404248429/", 1404248429)</f>
        <v>1404248429</v>
      </c>
      <c r="D4347">
        <v>11072.87</v>
      </c>
    </row>
    <row r="4348" spans="1:4" hidden="1" x14ac:dyDescent="0.25">
      <c r="A4348" t="s">
        <v>658</v>
      </c>
      <c r="B4348" t="s">
        <v>190</v>
      </c>
      <c r="C4348" s="2">
        <f>HYPERLINK("https://sao.dolgi.msk.ru/account/1404246669/", 1404246669)</f>
        <v>1404246669</v>
      </c>
      <c r="D4348">
        <v>-3724.53</v>
      </c>
    </row>
    <row r="4349" spans="1:4" hidden="1" x14ac:dyDescent="0.25">
      <c r="A4349" t="s">
        <v>658</v>
      </c>
      <c r="B4349" t="s">
        <v>191</v>
      </c>
      <c r="C4349" s="2">
        <f>HYPERLINK("https://sao.dolgi.msk.ru/account/1404250844/", 1404250844)</f>
        <v>1404250844</v>
      </c>
      <c r="D4349">
        <v>-6245.34</v>
      </c>
    </row>
    <row r="4350" spans="1:4" hidden="1" x14ac:dyDescent="0.25">
      <c r="A4350" t="s">
        <v>658</v>
      </c>
      <c r="B4350" t="s">
        <v>192</v>
      </c>
      <c r="C4350" s="2">
        <f>HYPERLINK("https://sao.dolgi.msk.ru/account/1404250713/", 1404250713)</f>
        <v>1404250713</v>
      </c>
      <c r="D4350">
        <v>0</v>
      </c>
    </row>
    <row r="4351" spans="1:4" hidden="1" x14ac:dyDescent="0.25">
      <c r="A4351" t="s">
        <v>658</v>
      </c>
      <c r="B4351" t="s">
        <v>193</v>
      </c>
      <c r="C4351" s="2">
        <f>HYPERLINK("https://sao.dolgi.msk.ru/account/1404249181/", 1404249181)</f>
        <v>1404249181</v>
      </c>
      <c r="D4351">
        <v>-6727.3</v>
      </c>
    </row>
    <row r="4352" spans="1:4" hidden="1" x14ac:dyDescent="0.25">
      <c r="A4352" t="s">
        <v>658</v>
      </c>
      <c r="B4352" t="s">
        <v>194</v>
      </c>
      <c r="C4352" s="2">
        <f>HYPERLINK("https://sao.dolgi.msk.ru/account/1404248752/", 1404248752)</f>
        <v>1404248752</v>
      </c>
      <c r="D4352">
        <v>-5935.85</v>
      </c>
    </row>
    <row r="4353" spans="1:4" hidden="1" x14ac:dyDescent="0.25">
      <c r="A4353" t="s">
        <v>658</v>
      </c>
      <c r="B4353" t="s">
        <v>194</v>
      </c>
      <c r="C4353" s="2">
        <f>HYPERLINK("https://sao.dolgi.msk.ru/account/1404249229/", 1404249229)</f>
        <v>1404249229</v>
      </c>
      <c r="D4353">
        <v>-1532.89</v>
      </c>
    </row>
    <row r="4354" spans="1:4" hidden="1" x14ac:dyDescent="0.25">
      <c r="A4354" t="s">
        <v>658</v>
      </c>
      <c r="B4354" t="s">
        <v>195</v>
      </c>
      <c r="C4354" s="2">
        <f>HYPERLINK("https://sao.dolgi.msk.ru/account/1404246853/", 1404246853)</f>
        <v>1404246853</v>
      </c>
      <c r="D4354">
        <v>-5041.84</v>
      </c>
    </row>
    <row r="4355" spans="1:4" hidden="1" x14ac:dyDescent="0.25">
      <c r="A4355" t="s">
        <v>658</v>
      </c>
      <c r="B4355" t="s">
        <v>196</v>
      </c>
      <c r="C4355" s="2">
        <f>HYPERLINK("https://sao.dolgi.msk.ru/account/1404246722/", 1404246722)</f>
        <v>1404246722</v>
      </c>
      <c r="D4355">
        <v>0</v>
      </c>
    </row>
    <row r="4356" spans="1:4" x14ac:dyDescent="0.25">
      <c r="A4356" t="s">
        <v>658</v>
      </c>
      <c r="B4356" t="s">
        <v>197</v>
      </c>
      <c r="C4356" s="2">
        <f>HYPERLINK("https://sao.dolgi.msk.ru/account/1404246212/", 1404246212)</f>
        <v>1404246212</v>
      </c>
      <c r="D4356">
        <v>23303.55</v>
      </c>
    </row>
    <row r="4357" spans="1:4" hidden="1" x14ac:dyDescent="0.25">
      <c r="A4357" t="s">
        <v>658</v>
      </c>
      <c r="B4357" t="s">
        <v>198</v>
      </c>
      <c r="C4357" s="2">
        <f>HYPERLINK("https://sao.dolgi.msk.ru/account/1404250262/", 1404250262)</f>
        <v>1404250262</v>
      </c>
      <c r="D4357">
        <v>-7027.69</v>
      </c>
    </row>
    <row r="4358" spans="1:4" x14ac:dyDescent="0.25">
      <c r="A4358" t="s">
        <v>658</v>
      </c>
      <c r="B4358" t="s">
        <v>199</v>
      </c>
      <c r="C4358" s="2">
        <f>HYPERLINK("https://sao.dolgi.msk.ru/account/1404250916/", 1404250916)</f>
        <v>1404250916</v>
      </c>
      <c r="D4358">
        <v>40041.230000000003</v>
      </c>
    </row>
    <row r="4359" spans="1:4" hidden="1" x14ac:dyDescent="0.25">
      <c r="A4359" t="s">
        <v>658</v>
      </c>
      <c r="B4359" t="s">
        <v>200</v>
      </c>
      <c r="C4359" s="2">
        <f>HYPERLINK("https://sao.dolgi.msk.ru/account/1404248138/", 1404248138)</f>
        <v>1404248138</v>
      </c>
      <c r="D4359">
        <v>-3939.28</v>
      </c>
    </row>
    <row r="4360" spans="1:4" hidden="1" x14ac:dyDescent="0.25">
      <c r="A4360" t="s">
        <v>658</v>
      </c>
      <c r="B4360" t="s">
        <v>201</v>
      </c>
      <c r="C4360" s="2">
        <f>HYPERLINK("https://sao.dolgi.msk.ru/account/1404250617/", 1404250617)</f>
        <v>1404250617</v>
      </c>
      <c r="D4360">
        <v>0</v>
      </c>
    </row>
    <row r="4361" spans="1:4" hidden="1" x14ac:dyDescent="0.25">
      <c r="A4361" t="s">
        <v>658</v>
      </c>
      <c r="B4361" t="s">
        <v>202</v>
      </c>
      <c r="C4361" s="2">
        <f>HYPERLINK("https://sao.dolgi.msk.ru/account/1404250326/", 1404250326)</f>
        <v>1404250326</v>
      </c>
      <c r="D4361">
        <v>-4290.92</v>
      </c>
    </row>
    <row r="4362" spans="1:4" hidden="1" x14ac:dyDescent="0.25">
      <c r="A4362" t="s">
        <v>658</v>
      </c>
      <c r="B4362" t="s">
        <v>203</v>
      </c>
      <c r="C4362" s="2">
        <f>HYPERLINK("https://sao.dolgi.msk.ru/account/1404248162/", 1404248162)</f>
        <v>1404248162</v>
      </c>
      <c r="D4362">
        <v>-5105.26</v>
      </c>
    </row>
    <row r="4363" spans="1:4" hidden="1" x14ac:dyDescent="0.25">
      <c r="A4363" t="s">
        <v>658</v>
      </c>
      <c r="B4363" t="s">
        <v>204</v>
      </c>
      <c r="C4363" s="2">
        <f>HYPERLINK("https://sao.dolgi.msk.ru/account/1404250203/", 1404250203)</f>
        <v>1404250203</v>
      </c>
      <c r="D4363">
        <v>-1812.26</v>
      </c>
    </row>
    <row r="4364" spans="1:4" hidden="1" x14ac:dyDescent="0.25">
      <c r="A4364" t="s">
        <v>658</v>
      </c>
      <c r="B4364" t="s">
        <v>205</v>
      </c>
      <c r="C4364" s="2">
        <f>HYPERLINK("https://sao.dolgi.msk.ru/account/1404250094/", 1404250094)</f>
        <v>1404250094</v>
      </c>
      <c r="D4364">
        <v>0</v>
      </c>
    </row>
    <row r="4365" spans="1:4" hidden="1" x14ac:dyDescent="0.25">
      <c r="A4365" t="s">
        <v>658</v>
      </c>
      <c r="B4365" t="s">
        <v>206</v>
      </c>
      <c r="C4365" s="2">
        <f>HYPERLINK("https://sao.dolgi.msk.ru/account/1404249907/", 1404249907)</f>
        <v>1404249907</v>
      </c>
      <c r="D4365">
        <v>-7185.63</v>
      </c>
    </row>
    <row r="4366" spans="1:4" hidden="1" x14ac:dyDescent="0.25">
      <c r="A4366" t="s">
        <v>658</v>
      </c>
      <c r="B4366" t="s">
        <v>207</v>
      </c>
      <c r="C4366" s="2">
        <f>HYPERLINK("https://sao.dolgi.msk.ru/account/1404246976/", 1404246976)</f>
        <v>1404246976</v>
      </c>
      <c r="D4366">
        <v>-2855.16</v>
      </c>
    </row>
    <row r="4367" spans="1:4" x14ac:dyDescent="0.25">
      <c r="A4367" t="s">
        <v>658</v>
      </c>
      <c r="B4367" t="s">
        <v>208</v>
      </c>
      <c r="C4367" s="2">
        <f>HYPERLINK("https://sao.dolgi.msk.ru/account/1404246415/", 1404246415)</f>
        <v>1404246415</v>
      </c>
      <c r="D4367">
        <v>14207.29</v>
      </c>
    </row>
    <row r="4368" spans="1:4" hidden="1" x14ac:dyDescent="0.25">
      <c r="A4368" t="s">
        <v>658</v>
      </c>
      <c r="B4368" t="s">
        <v>209</v>
      </c>
      <c r="C4368" s="2">
        <f>HYPERLINK("https://sao.dolgi.msk.ru/account/1404248875/", 1404248875)</f>
        <v>1404248875</v>
      </c>
      <c r="D4368">
        <v>-5962.42</v>
      </c>
    </row>
    <row r="4369" spans="1:4" hidden="1" x14ac:dyDescent="0.25">
      <c r="A4369" t="s">
        <v>658</v>
      </c>
      <c r="B4369" t="s">
        <v>210</v>
      </c>
      <c r="C4369" s="2">
        <f>HYPERLINK("https://sao.dolgi.msk.ru/account/1404251361/", 1404251361)</f>
        <v>1404251361</v>
      </c>
      <c r="D4369">
        <v>0</v>
      </c>
    </row>
    <row r="4370" spans="1:4" hidden="1" x14ac:dyDescent="0.25">
      <c r="A4370" t="s">
        <v>658</v>
      </c>
      <c r="B4370" t="s">
        <v>211</v>
      </c>
      <c r="C4370" s="2">
        <f>HYPERLINK("https://sao.dolgi.msk.ru/account/1404250633/", 1404250633)</f>
        <v>1404250633</v>
      </c>
      <c r="D4370">
        <v>-7640.13</v>
      </c>
    </row>
    <row r="4371" spans="1:4" hidden="1" x14ac:dyDescent="0.25">
      <c r="A4371" t="s">
        <v>658</v>
      </c>
      <c r="B4371" t="s">
        <v>212</v>
      </c>
      <c r="C4371" s="2">
        <f>HYPERLINK("https://sao.dolgi.msk.ru/account/1404246458/", 1404246458)</f>
        <v>1404246458</v>
      </c>
      <c r="D4371">
        <v>-6723.05</v>
      </c>
    </row>
    <row r="4372" spans="1:4" hidden="1" x14ac:dyDescent="0.25">
      <c r="A4372" t="s">
        <v>658</v>
      </c>
      <c r="B4372" t="s">
        <v>213</v>
      </c>
      <c r="C4372" s="2">
        <f>HYPERLINK("https://sao.dolgi.msk.ru/account/1404249755/", 1404249755)</f>
        <v>1404249755</v>
      </c>
      <c r="D4372">
        <v>0</v>
      </c>
    </row>
    <row r="4373" spans="1:4" hidden="1" x14ac:dyDescent="0.25">
      <c r="A4373" t="s">
        <v>658</v>
      </c>
      <c r="B4373" t="s">
        <v>214</v>
      </c>
      <c r="C4373" s="2">
        <f>HYPERLINK("https://sao.dolgi.msk.ru/account/1404247258/", 1404247258)</f>
        <v>1404247258</v>
      </c>
      <c r="D4373">
        <v>-7804.58</v>
      </c>
    </row>
    <row r="4374" spans="1:4" x14ac:dyDescent="0.25">
      <c r="A4374" t="s">
        <v>658</v>
      </c>
      <c r="B4374" t="s">
        <v>215</v>
      </c>
      <c r="C4374" s="2">
        <f>HYPERLINK("https://sao.dolgi.msk.ru/account/1404250705/", 1404250705)</f>
        <v>1404250705</v>
      </c>
      <c r="D4374">
        <v>26529.25</v>
      </c>
    </row>
    <row r="4375" spans="1:4" hidden="1" x14ac:dyDescent="0.25">
      <c r="A4375" t="s">
        <v>658</v>
      </c>
      <c r="B4375" t="s">
        <v>216</v>
      </c>
      <c r="C4375" s="2">
        <f>HYPERLINK("https://sao.dolgi.msk.ru/account/1404250692/", 1404250692)</f>
        <v>1404250692</v>
      </c>
      <c r="D4375">
        <v>-6978.57</v>
      </c>
    </row>
    <row r="4376" spans="1:4" hidden="1" x14ac:dyDescent="0.25">
      <c r="A4376" t="s">
        <v>658</v>
      </c>
      <c r="B4376" t="s">
        <v>217</v>
      </c>
      <c r="C4376" s="2">
        <f>HYPERLINK("https://sao.dolgi.msk.ru/account/1404247928/", 1404247928)</f>
        <v>1404247928</v>
      </c>
      <c r="D4376">
        <v>0</v>
      </c>
    </row>
    <row r="4377" spans="1:4" hidden="1" x14ac:dyDescent="0.25">
      <c r="A4377" t="s">
        <v>658</v>
      </c>
      <c r="B4377" t="s">
        <v>218</v>
      </c>
      <c r="C4377" s="2">
        <f>HYPERLINK("https://sao.dolgi.msk.ru/account/1404249536/", 1404249536)</f>
        <v>1404249536</v>
      </c>
      <c r="D4377">
        <v>-9210.26</v>
      </c>
    </row>
    <row r="4378" spans="1:4" hidden="1" x14ac:dyDescent="0.25">
      <c r="A4378" t="s">
        <v>658</v>
      </c>
      <c r="B4378" t="s">
        <v>219</v>
      </c>
      <c r="C4378" s="2">
        <f>HYPERLINK("https://sao.dolgi.msk.ru/account/1404249886/", 1404249886)</f>
        <v>1404249886</v>
      </c>
      <c r="D4378">
        <v>-10229.73</v>
      </c>
    </row>
    <row r="4379" spans="1:4" hidden="1" x14ac:dyDescent="0.25">
      <c r="A4379" t="s">
        <v>658</v>
      </c>
      <c r="B4379" t="s">
        <v>220</v>
      </c>
      <c r="C4379" s="2">
        <f>HYPERLINK("https://sao.dolgi.msk.ru/account/1404251433/", 1404251433)</f>
        <v>1404251433</v>
      </c>
      <c r="D4379">
        <v>-7251.9</v>
      </c>
    </row>
    <row r="4380" spans="1:4" hidden="1" x14ac:dyDescent="0.25">
      <c r="A4380" t="s">
        <v>658</v>
      </c>
      <c r="B4380" t="s">
        <v>221</v>
      </c>
      <c r="C4380" s="2">
        <f>HYPERLINK("https://sao.dolgi.msk.ru/account/1404247047/", 1404247047)</f>
        <v>1404247047</v>
      </c>
      <c r="D4380">
        <v>-7849.33</v>
      </c>
    </row>
    <row r="4381" spans="1:4" hidden="1" x14ac:dyDescent="0.25">
      <c r="A4381" t="s">
        <v>658</v>
      </c>
      <c r="B4381" t="s">
        <v>222</v>
      </c>
      <c r="C4381" s="2">
        <f>HYPERLINK("https://sao.dolgi.msk.ru/account/1404251281/", 1404251281)</f>
        <v>1404251281</v>
      </c>
      <c r="D4381">
        <v>-4771.8500000000004</v>
      </c>
    </row>
    <row r="4382" spans="1:4" hidden="1" x14ac:dyDescent="0.25">
      <c r="A4382" t="s">
        <v>658</v>
      </c>
      <c r="B4382" t="s">
        <v>223</v>
      </c>
      <c r="C4382" s="2">
        <f>HYPERLINK("https://sao.dolgi.msk.ru/account/1404248541/", 1404248541)</f>
        <v>1404248541</v>
      </c>
      <c r="D4382">
        <v>-7233.76</v>
      </c>
    </row>
    <row r="4383" spans="1:4" hidden="1" x14ac:dyDescent="0.25">
      <c r="A4383" t="s">
        <v>658</v>
      </c>
      <c r="B4383" t="s">
        <v>224</v>
      </c>
      <c r="C4383" s="2">
        <f>HYPERLINK("https://sao.dolgi.msk.ru/account/1404249093/", 1404249093)</f>
        <v>1404249093</v>
      </c>
      <c r="D4383">
        <v>-4859.6400000000003</v>
      </c>
    </row>
    <row r="4384" spans="1:4" hidden="1" x14ac:dyDescent="0.25">
      <c r="A4384" t="s">
        <v>658</v>
      </c>
      <c r="B4384" t="s">
        <v>225</v>
      </c>
      <c r="C4384" s="2">
        <f>HYPERLINK("https://sao.dolgi.msk.ru/account/1404251484/", 1404251484)</f>
        <v>1404251484</v>
      </c>
      <c r="D4384">
        <v>-8135.85</v>
      </c>
    </row>
    <row r="4385" spans="1:4" hidden="1" x14ac:dyDescent="0.25">
      <c r="A4385" t="s">
        <v>658</v>
      </c>
      <c r="B4385" t="s">
        <v>226</v>
      </c>
      <c r="C4385" s="2">
        <f>HYPERLINK("https://sao.dolgi.msk.ru/account/1404247506/", 1404247506)</f>
        <v>1404247506</v>
      </c>
      <c r="D4385">
        <v>0</v>
      </c>
    </row>
    <row r="4386" spans="1:4" hidden="1" x14ac:dyDescent="0.25">
      <c r="A4386" t="s">
        <v>658</v>
      </c>
      <c r="B4386" t="s">
        <v>227</v>
      </c>
      <c r="C4386" s="2">
        <f>HYPERLINK("https://sao.dolgi.msk.ru/account/1404246597/", 1404246597)</f>
        <v>1404246597</v>
      </c>
      <c r="D4386">
        <v>-5564.66</v>
      </c>
    </row>
    <row r="4387" spans="1:4" hidden="1" x14ac:dyDescent="0.25">
      <c r="A4387" t="s">
        <v>658</v>
      </c>
      <c r="B4387" t="s">
        <v>228</v>
      </c>
      <c r="C4387" s="2">
        <f>HYPERLINK("https://sao.dolgi.msk.ru/account/1404248963/", 1404248963)</f>
        <v>1404248963</v>
      </c>
      <c r="D4387">
        <v>-7967.98</v>
      </c>
    </row>
    <row r="4388" spans="1:4" hidden="1" x14ac:dyDescent="0.25">
      <c r="A4388" t="s">
        <v>658</v>
      </c>
      <c r="B4388" t="s">
        <v>229</v>
      </c>
      <c r="C4388" s="2">
        <f>HYPERLINK("https://sao.dolgi.msk.ru/account/1404250772/", 1404250772)</f>
        <v>1404250772</v>
      </c>
      <c r="D4388">
        <v>-6941.94</v>
      </c>
    </row>
    <row r="4389" spans="1:4" hidden="1" x14ac:dyDescent="0.25">
      <c r="A4389" t="s">
        <v>658</v>
      </c>
      <c r="B4389" t="s">
        <v>230</v>
      </c>
      <c r="C4389" s="2">
        <f>HYPERLINK("https://sao.dolgi.msk.ru/account/1404247143/", 1404247143)</f>
        <v>1404247143</v>
      </c>
      <c r="D4389">
        <v>-8239.67</v>
      </c>
    </row>
    <row r="4390" spans="1:4" hidden="1" x14ac:dyDescent="0.25">
      <c r="A4390" t="s">
        <v>658</v>
      </c>
      <c r="B4390" t="s">
        <v>231</v>
      </c>
      <c r="C4390" s="2">
        <f>HYPERLINK("https://sao.dolgi.msk.ru/account/1404246829/", 1404246829)</f>
        <v>1404246829</v>
      </c>
      <c r="D4390">
        <v>-6509.98</v>
      </c>
    </row>
    <row r="4391" spans="1:4" hidden="1" x14ac:dyDescent="0.25">
      <c r="A4391" t="s">
        <v>658</v>
      </c>
      <c r="B4391" t="s">
        <v>232</v>
      </c>
      <c r="C4391" s="2">
        <f>HYPERLINK("https://sao.dolgi.msk.ru/account/1404246837/", 1404246837)</f>
        <v>1404246837</v>
      </c>
      <c r="D4391">
        <v>0</v>
      </c>
    </row>
    <row r="4392" spans="1:4" x14ac:dyDescent="0.25">
      <c r="A4392" t="s">
        <v>658</v>
      </c>
      <c r="B4392" t="s">
        <v>233</v>
      </c>
      <c r="C4392" s="2">
        <f>HYPERLINK("https://sao.dolgi.msk.ru/account/1404251185/", 1404251185)</f>
        <v>1404251185</v>
      </c>
      <c r="D4392">
        <v>84502.25</v>
      </c>
    </row>
    <row r="4393" spans="1:4" x14ac:dyDescent="0.25">
      <c r="A4393" t="s">
        <v>658</v>
      </c>
      <c r="B4393" t="s">
        <v>234</v>
      </c>
      <c r="C4393" s="2">
        <f>HYPERLINK("https://sao.dolgi.msk.ru/account/1404248007/", 1404248007)</f>
        <v>1404248007</v>
      </c>
      <c r="D4393">
        <v>32362.720000000001</v>
      </c>
    </row>
    <row r="4394" spans="1:4" x14ac:dyDescent="0.25">
      <c r="A4394" t="s">
        <v>658</v>
      </c>
      <c r="B4394" t="s">
        <v>235</v>
      </c>
      <c r="C4394" s="2">
        <f>HYPERLINK("https://sao.dolgi.msk.ru/account/1404250596/", 1404250596)</f>
        <v>1404250596</v>
      </c>
      <c r="D4394">
        <v>9904.33</v>
      </c>
    </row>
    <row r="4395" spans="1:4" x14ac:dyDescent="0.25">
      <c r="A4395" t="s">
        <v>658</v>
      </c>
      <c r="B4395" t="s">
        <v>239</v>
      </c>
      <c r="C4395" s="2">
        <f>HYPERLINK("https://sao.dolgi.msk.ru/account/1404250588/", 1404250588)</f>
        <v>1404250588</v>
      </c>
      <c r="D4395">
        <v>11432.97</v>
      </c>
    </row>
    <row r="4396" spans="1:4" x14ac:dyDescent="0.25">
      <c r="A4396" t="s">
        <v>658</v>
      </c>
      <c r="B4396" t="s">
        <v>240</v>
      </c>
      <c r="C4396" s="2">
        <f>HYPERLINK("https://sao.dolgi.msk.ru/account/1404248269/", 1404248269)</f>
        <v>1404248269</v>
      </c>
      <c r="D4396">
        <v>2902.5</v>
      </c>
    </row>
    <row r="4397" spans="1:4" hidden="1" x14ac:dyDescent="0.25">
      <c r="A4397" t="s">
        <v>658</v>
      </c>
      <c r="B4397" t="s">
        <v>241</v>
      </c>
      <c r="C4397" s="2">
        <f>HYPERLINK("https://sao.dolgi.msk.ru/account/1404251468/", 1404251468)</f>
        <v>1404251468</v>
      </c>
      <c r="D4397">
        <v>-8318.01</v>
      </c>
    </row>
    <row r="4398" spans="1:4" x14ac:dyDescent="0.25">
      <c r="A4398" t="s">
        <v>658</v>
      </c>
      <c r="B4398" t="s">
        <v>242</v>
      </c>
      <c r="C4398" s="2">
        <f>HYPERLINK("https://sao.dolgi.msk.ru/account/1404249392/", 1404249392)</f>
        <v>1404249392</v>
      </c>
      <c r="D4398">
        <v>10161.91</v>
      </c>
    </row>
    <row r="4399" spans="1:4" hidden="1" x14ac:dyDescent="0.25">
      <c r="A4399" t="s">
        <v>658</v>
      </c>
      <c r="B4399" t="s">
        <v>243</v>
      </c>
      <c r="C4399" s="2">
        <f>HYPERLINK("https://sao.dolgi.msk.ru/account/1404247581/", 1404247581)</f>
        <v>1404247581</v>
      </c>
      <c r="D4399">
        <v>-8135.77</v>
      </c>
    </row>
    <row r="4400" spans="1:4" hidden="1" x14ac:dyDescent="0.25">
      <c r="A4400" t="s">
        <v>658</v>
      </c>
      <c r="B4400" t="s">
        <v>244</v>
      </c>
      <c r="C4400" s="2">
        <f>HYPERLINK("https://sao.dolgi.msk.ru/account/1404247469/", 1404247469)</f>
        <v>1404247469</v>
      </c>
      <c r="D4400">
        <v>-2663.59</v>
      </c>
    </row>
    <row r="4401" spans="1:4" x14ac:dyDescent="0.25">
      <c r="A4401" t="s">
        <v>658</v>
      </c>
      <c r="B4401" t="s">
        <v>245</v>
      </c>
      <c r="C4401" s="2">
        <f>HYPERLINK("https://sao.dolgi.msk.ru/account/1404250799/", 1404250799)</f>
        <v>1404250799</v>
      </c>
      <c r="D4401">
        <v>11198.05</v>
      </c>
    </row>
    <row r="4402" spans="1:4" x14ac:dyDescent="0.25">
      <c r="A4402" t="s">
        <v>658</v>
      </c>
      <c r="B4402" t="s">
        <v>246</v>
      </c>
      <c r="C4402" s="2">
        <f>HYPERLINK("https://sao.dolgi.msk.ru/account/1404250449/", 1404250449)</f>
        <v>1404250449</v>
      </c>
      <c r="D4402">
        <v>13726.16</v>
      </c>
    </row>
    <row r="4403" spans="1:4" hidden="1" x14ac:dyDescent="0.25">
      <c r="A4403" t="s">
        <v>658</v>
      </c>
      <c r="B4403" t="s">
        <v>247</v>
      </c>
      <c r="C4403" s="2">
        <f>HYPERLINK("https://sao.dolgi.msk.ru/account/1404246028/", 1404246028)</f>
        <v>1404246028</v>
      </c>
      <c r="D4403">
        <v>-7661.06</v>
      </c>
    </row>
    <row r="4404" spans="1:4" hidden="1" x14ac:dyDescent="0.25">
      <c r="A4404" t="s">
        <v>658</v>
      </c>
      <c r="B4404" t="s">
        <v>248</v>
      </c>
      <c r="C4404" s="2">
        <f>HYPERLINK("https://sao.dolgi.msk.ru/account/1404250027/", 1404250027)</f>
        <v>1404250027</v>
      </c>
      <c r="D4404">
        <v>-6592.54</v>
      </c>
    </row>
    <row r="4405" spans="1:4" hidden="1" x14ac:dyDescent="0.25">
      <c r="A4405" t="s">
        <v>658</v>
      </c>
      <c r="B4405" t="s">
        <v>249</v>
      </c>
      <c r="C4405" s="2">
        <f>HYPERLINK("https://sao.dolgi.msk.ru/account/1404250035/", 1404250035)</f>
        <v>1404250035</v>
      </c>
      <c r="D4405">
        <v>-11589.56</v>
      </c>
    </row>
    <row r="4406" spans="1:4" hidden="1" x14ac:dyDescent="0.25">
      <c r="A4406" t="s">
        <v>658</v>
      </c>
      <c r="B4406" t="s">
        <v>250</v>
      </c>
      <c r="C4406" s="2">
        <f>HYPERLINK("https://sao.dolgi.msk.ru/account/1404249552/", 1404249552)</f>
        <v>1404249552</v>
      </c>
      <c r="D4406">
        <v>-4257.6499999999996</v>
      </c>
    </row>
    <row r="4407" spans="1:4" hidden="1" x14ac:dyDescent="0.25">
      <c r="A4407" t="s">
        <v>658</v>
      </c>
      <c r="B4407" t="s">
        <v>251</v>
      </c>
      <c r="C4407" s="2">
        <f>HYPERLINK("https://sao.dolgi.msk.ru/account/1404250641/", 1404250641)</f>
        <v>1404250641</v>
      </c>
      <c r="D4407">
        <v>-6069.44</v>
      </c>
    </row>
    <row r="4408" spans="1:4" hidden="1" x14ac:dyDescent="0.25">
      <c r="A4408" t="s">
        <v>658</v>
      </c>
      <c r="B4408" t="s">
        <v>252</v>
      </c>
      <c r="C4408" s="2">
        <f>HYPERLINK("https://sao.dolgi.msk.ru/account/1404250481/", 1404250481)</f>
        <v>1404250481</v>
      </c>
      <c r="D4408">
        <v>-7555.7</v>
      </c>
    </row>
    <row r="4409" spans="1:4" hidden="1" x14ac:dyDescent="0.25">
      <c r="A4409" t="s">
        <v>658</v>
      </c>
      <c r="B4409" t="s">
        <v>253</v>
      </c>
      <c r="C4409" s="2">
        <f>HYPERLINK("https://sao.dolgi.msk.ru/account/1404251425/", 1404251425)</f>
        <v>1404251425</v>
      </c>
      <c r="D4409">
        <v>0</v>
      </c>
    </row>
    <row r="4410" spans="1:4" hidden="1" x14ac:dyDescent="0.25">
      <c r="A4410" t="s">
        <v>658</v>
      </c>
      <c r="B4410" t="s">
        <v>254</v>
      </c>
      <c r="C4410" s="2">
        <f>HYPERLINK("https://sao.dolgi.msk.ru/account/1404248998/", 1404248998)</f>
        <v>1404248998</v>
      </c>
      <c r="D4410">
        <v>-3294.79</v>
      </c>
    </row>
    <row r="4411" spans="1:4" hidden="1" x14ac:dyDescent="0.25">
      <c r="A4411" t="s">
        <v>658</v>
      </c>
      <c r="B4411" t="s">
        <v>255</v>
      </c>
      <c r="C4411" s="2">
        <f>HYPERLINK("https://sao.dolgi.msk.ru/account/1404250019/", 1404250019)</f>
        <v>1404250019</v>
      </c>
      <c r="D4411">
        <v>-2242.23</v>
      </c>
    </row>
    <row r="4412" spans="1:4" x14ac:dyDescent="0.25">
      <c r="A4412" t="s">
        <v>658</v>
      </c>
      <c r="B4412" t="s">
        <v>256</v>
      </c>
      <c r="C4412" s="2">
        <f>HYPERLINK("https://sao.dolgi.msk.ru/account/1404247629/", 1404247629)</f>
        <v>1404247629</v>
      </c>
      <c r="D4412">
        <v>88388.93</v>
      </c>
    </row>
    <row r="4413" spans="1:4" hidden="1" x14ac:dyDescent="0.25">
      <c r="A4413" t="s">
        <v>658</v>
      </c>
      <c r="B4413" t="s">
        <v>257</v>
      </c>
      <c r="C4413" s="2">
        <f>HYPERLINK("https://sao.dolgi.msk.ru/account/1404246511/", 1404246511)</f>
        <v>1404246511</v>
      </c>
      <c r="D4413">
        <v>-5758.54</v>
      </c>
    </row>
    <row r="4414" spans="1:4" hidden="1" x14ac:dyDescent="0.25">
      <c r="A4414" t="s">
        <v>658</v>
      </c>
      <c r="B4414" t="s">
        <v>258</v>
      </c>
      <c r="C4414" s="2">
        <f>HYPERLINK("https://sao.dolgi.msk.ru/account/1404246802/", 1404246802)</f>
        <v>1404246802</v>
      </c>
      <c r="D4414">
        <v>-3565.71</v>
      </c>
    </row>
    <row r="4415" spans="1:4" hidden="1" x14ac:dyDescent="0.25">
      <c r="A4415" t="s">
        <v>658</v>
      </c>
      <c r="B4415" t="s">
        <v>258</v>
      </c>
      <c r="C4415" s="2">
        <f>HYPERLINK("https://sao.dolgi.msk.ru/account/1404250166/", 1404250166)</f>
        <v>1404250166</v>
      </c>
      <c r="D4415">
        <v>-4230.04</v>
      </c>
    </row>
    <row r="4416" spans="1:4" hidden="1" x14ac:dyDescent="0.25">
      <c r="A4416" t="s">
        <v>658</v>
      </c>
      <c r="B4416" t="s">
        <v>259</v>
      </c>
      <c r="C4416" s="2">
        <f>HYPERLINK("https://sao.dolgi.msk.ru/account/1404248525/", 1404248525)</f>
        <v>1404248525</v>
      </c>
      <c r="D4416">
        <v>-7342.85</v>
      </c>
    </row>
    <row r="4417" spans="1:4" hidden="1" x14ac:dyDescent="0.25">
      <c r="A4417" t="s">
        <v>658</v>
      </c>
      <c r="B4417" t="s">
        <v>260</v>
      </c>
      <c r="C4417" s="2">
        <f>HYPERLINK("https://sao.dolgi.msk.ru/account/1404249165/", 1404249165)</f>
        <v>1404249165</v>
      </c>
      <c r="D4417">
        <v>-5763.04</v>
      </c>
    </row>
    <row r="4418" spans="1:4" hidden="1" x14ac:dyDescent="0.25">
      <c r="A4418" t="s">
        <v>658</v>
      </c>
      <c r="B4418" t="s">
        <v>261</v>
      </c>
      <c r="C4418" s="2">
        <f>HYPERLINK("https://sao.dolgi.msk.ru/account/1404249042/", 1404249042)</f>
        <v>1404249042</v>
      </c>
      <c r="D4418">
        <v>-8262.49</v>
      </c>
    </row>
    <row r="4419" spans="1:4" x14ac:dyDescent="0.25">
      <c r="A4419" t="s">
        <v>658</v>
      </c>
      <c r="B4419" t="s">
        <v>262</v>
      </c>
      <c r="C4419" s="2">
        <f>HYPERLINK("https://sao.dolgi.msk.ru/account/1404250393/", 1404250393)</f>
        <v>1404250393</v>
      </c>
      <c r="D4419">
        <v>15807.44</v>
      </c>
    </row>
    <row r="4420" spans="1:4" x14ac:dyDescent="0.25">
      <c r="A4420" t="s">
        <v>658</v>
      </c>
      <c r="B4420" t="s">
        <v>263</v>
      </c>
      <c r="C4420" s="2">
        <f>HYPERLINK("https://sao.dolgi.msk.ru/account/1404248277/", 1404248277)</f>
        <v>1404248277</v>
      </c>
      <c r="D4420">
        <v>11787.6</v>
      </c>
    </row>
    <row r="4421" spans="1:4" x14ac:dyDescent="0.25">
      <c r="A4421" t="s">
        <v>658</v>
      </c>
      <c r="B4421" t="s">
        <v>264</v>
      </c>
      <c r="C4421" s="2">
        <f>HYPERLINK("https://sao.dolgi.msk.ru/account/1404250211/", 1404250211)</f>
        <v>1404250211</v>
      </c>
      <c r="D4421">
        <v>88074.78</v>
      </c>
    </row>
    <row r="4422" spans="1:4" hidden="1" x14ac:dyDescent="0.25">
      <c r="A4422" t="s">
        <v>658</v>
      </c>
      <c r="B4422" t="s">
        <v>265</v>
      </c>
      <c r="C4422" s="2">
        <f>HYPERLINK("https://sao.dolgi.msk.ru/account/1404249464/", 1404249464)</f>
        <v>1404249464</v>
      </c>
      <c r="D4422">
        <v>-6063.15</v>
      </c>
    </row>
    <row r="4423" spans="1:4" hidden="1" x14ac:dyDescent="0.25">
      <c r="A4423" t="s">
        <v>658</v>
      </c>
      <c r="B4423" t="s">
        <v>266</v>
      </c>
      <c r="C4423" s="2">
        <f>HYPERLINK("https://sao.dolgi.msk.ru/account/1404250473/", 1404250473)</f>
        <v>1404250473</v>
      </c>
      <c r="D4423">
        <v>0</v>
      </c>
    </row>
    <row r="4424" spans="1:4" x14ac:dyDescent="0.25">
      <c r="A4424" t="s">
        <v>658</v>
      </c>
      <c r="B4424" t="s">
        <v>267</v>
      </c>
      <c r="C4424" s="2">
        <f>HYPERLINK("https://sao.dolgi.msk.ru/account/1404246423/", 1404246423)</f>
        <v>1404246423</v>
      </c>
      <c r="D4424">
        <v>75918.149999999994</v>
      </c>
    </row>
    <row r="4425" spans="1:4" x14ac:dyDescent="0.25">
      <c r="A4425" t="s">
        <v>658</v>
      </c>
      <c r="B4425" t="s">
        <v>268</v>
      </c>
      <c r="C4425" s="2">
        <f>HYPERLINK("https://sao.dolgi.msk.ru/account/1404245981/", 1404245981)</f>
        <v>1404245981</v>
      </c>
      <c r="D4425">
        <v>23564.41</v>
      </c>
    </row>
    <row r="4426" spans="1:4" hidden="1" x14ac:dyDescent="0.25">
      <c r="A4426" t="s">
        <v>658</v>
      </c>
      <c r="B4426" t="s">
        <v>269</v>
      </c>
      <c r="C4426" s="2">
        <f>HYPERLINK("https://sao.dolgi.msk.ru/account/1404247813/", 1404247813)</f>
        <v>1404247813</v>
      </c>
      <c r="D4426">
        <v>-6417.85</v>
      </c>
    </row>
    <row r="4427" spans="1:4" hidden="1" x14ac:dyDescent="0.25">
      <c r="A4427" t="s">
        <v>658</v>
      </c>
      <c r="B4427" t="s">
        <v>270</v>
      </c>
      <c r="C4427" s="2">
        <f>HYPERLINK("https://sao.dolgi.msk.ru/account/1404247805/", 1404247805)</f>
        <v>1404247805</v>
      </c>
      <c r="D4427">
        <v>-3182.67</v>
      </c>
    </row>
    <row r="4428" spans="1:4" hidden="1" x14ac:dyDescent="0.25">
      <c r="A4428" t="s">
        <v>658</v>
      </c>
      <c r="B4428" t="s">
        <v>271</v>
      </c>
      <c r="C4428" s="2">
        <f>HYPERLINK("https://sao.dolgi.msk.ru/account/1404247346/", 1404247346)</f>
        <v>1404247346</v>
      </c>
      <c r="D4428">
        <v>-4348.8</v>
      </c>
    </row>
    <row r="4429" spans="1:4" hidden="1" x14ac:dyDescent="0.25">
      <c r="A4429" t="s">
        <v>658</v>
      </c>
      <c r="B4429" t="s">
        <v>272</v>
      </c>
      <c r="C4429" s="2">
        <f>HYPERLINK("https://sao.dolgi.msk.ru/account/1404248517/", 1404248517)</f>
        <v>1404248517</v>
      </c>
      <c r="D4429">
        <v>-6791.88</v>
      </c>
    </row>
    <row r="4430" spans="1:4" hidden="1" x14ac:dyDescent="0.25">
      <c r="A4430" t="s">
        <v>658</v>
      </c>
      <c r="B4430" t="s">
        <v>273</v>
      </c>
      <c r="C4430" s="2">
        <f>HYPERLINK("https://sao.dolgi.msk.ru/account/1404249763/", 1404249763)</f>
        <v>1404249763</v>
      </c>
      <c r="D4430">
        <v>0</v>
      </c>
    </row>
    <row r="4431" spans="1:4" hidden="1" x14ac:dyDescent="0.25">
      <c r="A4431" t="s">
        <v>658</v>
      </c>
      <c r="B4431" t="s">
        <v>274</v>
      </c>
      <c r="C4431" s="2">
        <f>HYPERLINK("https://sao.dolgi.msk.ru/account/1404247901/", 1404247901)</f>
        <v>1404247901</v>
      </c>
      <c r="D4431">
        <v>-5917.22</v>
      </c>
    </row>
    <row r="4432" spans="1:4" hidden="1" x14ac:dyDescent="0.25">
      <c r="A4432" t="s">
        <v>658</v>
      </c>
      <c r="B4432" t="s">
        <v>275</v>
      </c>
      <c r="C4432" s="2">
        <f>HYPERLINK("https://sao.dolgi.msk.ru/account/1404249288/", 1404249288)</f>
        <v>1404249288</v>
      </c>
      <c r="D4432">
        <v>0</v>
      </c>
    </row>
    <row r="4433" spans="1:4" hidden="1" x14ac:dyDescent="0.25">
      <c r="A4433" t="s">
        <v>658</v>
      </c>
      <c r="B4433" t="s">
        <v>276</v>
      </c>
      <c r="C4433" s="2">
        <f>HYPERLINK("https://sao.dolgi.msk.ru/account/1404251054/", 1404251054)</f>
        <v>1404251054</v>
      </c>
      <c r="D4433">
        <v>0</v>
      </c>
    </row>
    <row r="4434" spans="1:4" hidden="1" x14ac:dyDescent="0.25">
      <c r="A4434" t="s">
        <v>658</v>
      </c>
      <c r="B4434" t="s">
        <v>277</v>
      </c>
      <c r="C4434" s="2">
        <f>HYPERLINK("https://sao.dolgi.msk.ru/account/1404246757/", 1404246757)</f>
        <v>1404246757</v>
      </c>
      <c r="D4434">
        <v>-990.25</v>
      </c>
    </row>
    <row r="4435" spans="1:4" hidden="1" x14ac:dyDescent="0.25">
      <c r="A4435" t="s">
        <v>658</v>
      </c>
      <c r="B4435" t="s">
        <v>278</v>
      </c>
      <c r="C4435" s="2">
        <f>HYPERLINK("https://sao.dolgi.msk.ru/account/1404248218/", 1404248218)</f>
        <v>1404248218</v>
      </c>
      <c r="D4435">
        <v>-7655.28</v>
      </c>
    </row>
    <row r="4436" spans="1:4" x14ac:dyDescent="0.25">
      <c r="A4436" t="s">
        <v>658</v>
      </c>
      <c r="B4436" t="s">
        <v>279</v>
      </c>
      <c r="C4436" s="2">
        <f>HYPERLINK("https://sao.dolgi.msk.ru/account/1404246319/", 1404246319)</f>
        <v>1404246319</v>
      </c>
      <c r="D4436">
        <v>28012.74</v>
      </c>
    </row>
    <row r="4437" spans="1:4" x14ac:dyDescent="0.25">
      <c r="A4437" t="s">
        <v>658</v>
      </c>
      <c r="B4437" t="s">
        <v>280</v>
      </c>
      <c r="C4437" s="2">
        <f>HYPERLINK("https://sao.dolgi.msk.ru/account/1404247354/", 1404247354)</f>
        <v>1404247354</v>
      </c>
      <c r="D4437">
        <v>3694.39</v>
      </c>
    </row>
    <row r="4438" spans="1:4" hidden="1" x14ac:dyDescent="0.25">
      <c r="A4438" t="s">
        <v>658</v>
      </c>
      <c r="B4438" t="s">
        <v>281</v>
      </c>
      <c r="C4438" s="2">
        <f>HYPERLINK("https://sao.dolgi.msk.ru/account/1404246036/", 1404246036)</f>
        <v>1404246036</v>
      </c>
      <c r="D4438">
        <v>-7684.11</v>
      </c>
    </row>
    <row r="4439" spans="1:4" hidden="1" x14ac:dyDescent="0.25">
      <c r="A4439" t="s">
        <v>658</v>
      </c>
      <c r="B4439" t="s">
        <v>282</v>
      </c>
      <c r="C4439" s="2">
        <f>HYPERLINK("https://sao.dolgi.msk.ru/account/1404247282/", 1404247282)</f>
        <v>1404247282</v>
      </c>
      <c r="D4439">
        <v>-4586.41</v>
      </c>
    </row>
    <row r="4440" spans="1:4" hidden="1" x14ac:dyDescent="0.25">
      <c r="A4440" t="s">
        <v>658</v>
      </c>
      <c r="B4440" t="s">
        <v>283</v>
      </c>
      <c r="C4440" s="2">
        <f>HYPERLINK("https://sao.dolgi.msk.ru/account/1404247135/", 1404247135)</f>
        <v>1404247135</v>
      </c>
      <c r="D4440">
        <v>-7830.61</v>
      </c>
    </row>
    <row r="4441" spans="1:4" x14ac:dyDescent="0.25">
      <c r="A4441" t="s">
        <v>658</v>
      </c>
      <c r="B4441" t="s">
        <v>284</v>
      </c>
      <c r="C4441" s="2">
        <f>HYPERLINK("https://sao.dolgi.msk.ru/account/1404246482/", 1404246482)</f>
        <v>1404246482</v>
      </c>
      <c r="D4441">
        <v>19708.259999999998</v>
      </c>
    </row>
    <row r="4442" spans="1:4" x14ac:dyDescent="0.25">
      <c r="A4442" t="s">
        <v>658</v>
      </c>
      <c r="B4442" t="s">
        <v>285</v>
      </c>
      <c r="C4442" s="2">
        <f>HYPERLINK("https://sao.dolgi.msk.ru/account/1404251273/", 1404251273)</f>
        <v>1404251273</v>
      </c>
      <c r="D4442">
        <v>22837.83</v>
      </c>
    </row>
    <row r="4443" spans="1:4" hidden="1" x14ac:dyDescent="0.25">
      <c r="A4443" t="s">
        <v>658</v>
      </c>
      <c r="B4443" t="s">
        <v>286</v>
      </c>
      <c r="C4443" s="2">
        <f>HYPERLINK("https://sao.dolgi.msk.ru/account/1404249405/", 1404249405)</f>
        <v>1404249405</v>
      </c>
      <c r="D4443">
        <v>0</v>
      </c>
    </row>
    <row r="4444" spans="1:4" hidden="1" x14ac:dyDescent="0.25">
      <c r="A4444" t="s">
        <v>658</v>
      </c>
      <c r="B4444" t="s">
        <v>287</v>
      </c>
      <c r="C4444" s="2">
        <f>HYPERLINK("https://sao.dolgi.msk.ru/account/1404249894/", 1404249894)</f>
        <v>1404249894</v>
      </c>
      <c r="D4444">
        <v>-6110.09</v>
      </c>
    </row>
    <row r="4445" spans="1:4" x14ac:dyDescent="0.25">
      <c r="A4445" t="s">
        <v>658</v>
      </c>
      <c r="B4445" t="s">
        <v>288</v>
      </c>
      <c r="C4445" s="2">
        <f>HYPERLINK("https://sao.dolgi.msk.ru/account/1404246984/", 1404246984)</f>
        <v>1404246984</v>
      </c>
      <c r="D4445">
        <v>14203.97</v>
      </c>
    </row>
    <row r="4446" spans="1:4" hidden="1" x14ac:dyDescent="0.25">
      <c r="A4446" t="s">
        <v>658</v>
      </c>
      <c r="B4446" t="s">
        <v>289</v>
      </c>
      <c r="C4446" s="2">
        <f>HYPERLINK("https://sao.dolgi.msk.ru/account/1404247426/", 1404247426)</f>
        <v>1404247426</v>
      </c>
      <c r="D4446">
        <v>0</v>
      </c>
    </row>
    <row r="4447" spans="1:4" hidden="1" x14ac:dyDescent="0.25">
      <c r="A4447" t="s">
        <v>658</v>
      </c>
      <c r="B4447" t="s">
        <v>290</v>
      </c>
      <c r="C4447" s="2">
        <f>HYPERLINK("https://sao.dolgi.msk.ru/account/1404247557/", 1404247557)</f>
        <v>1404247557</v>
      </c>
      <c r="D4447">
        <v>-5344.67</v>
      </c>
    </row>
    <row r="4448" spans="1:4" hidden="1" x14ac:dyDescent="0.25">
      <c r="A4448" t="s">
        <v>658</v>
      </c>
      <c r="B4448" t="s">
        <v>291</v>
      </c>
      <c r="C4448" s="2">
        <f>HYPERLINK("https://sao.dolgi.msk.ru/account/1404250457/", 1404250457)</f>
        <v>1404250457</v>
      </c>
      <c r="D4448">
        <v>-4998.17</v>
      </c>
    </row>
    <row r="4449" spans="1:4" x14ac:dyDescent="0.25">
      <c r="A4449" t="s">
        <v>658</v>
      </c>
      <c r="B4449" t="s">
        <v>292</v>
      </c>
      <c r="C4449" s="2">
        <f>HYPERLINK("https://sao.dolgi.msk.ru/account/1404250334/", 1404250334)</f>
        <v>1404250334</v>
      </c>
      <c r="D4449">
        <v>98412.25</v>
      </c>
    </row>
    <row r="4450" spans="1:4" hidden="1" x14ac:dyDescent="0.25">
      <c r="A4450" t="s">
        <v>658</v>
      </c>
      <c r="B4450" t="s">
        <v>293</v>
      </c>
      <c r="C4450" s="2">
        <f>HYPERLINK("https://sao.dolgi.msk.ru/account/1404246386/", 1404246386)</f>
        <v>1404246386</v>
      </c>
      <c r="D4450">
        <v>0</v>
      </c>
    </row>
    <row r="4451" spans="1:4" x14ac:dyDescent="0.25">
      <c r="A4451" t="s">
        <v>658</v>
      </c>
      <c r="B4451" t="s">
        <v>294</v>
      </c>
      <c r="C4451" s="2">
        <f>HYPERLINK("https://sao.dolgi.msk.ru/account/1404250238/", 1404250238)</f>
        <v>1404250238</v>
      </c>
      <c r="D4451">
        <v>5530.17</v>
      </c>
    </row>
    <row r="4452" spans="1:4" x14ac:dyDescent="0.25">
      <c r="A4452" t="s">
        <v>658</v>
      </c>
      <c r="B4452" t="s">
        <v>295</v>
      </c>
      <c r="C4452" s="2">
        <f>HYPERLINK("https://sao.dolgi.msk.ru/account/1404251302/", 1404251302)</f>
        <v>1404251302</v>
      </c>
      <c r="D4452">
        <v>15055.58</v>
      </c>
    </row>
    <row r="4453" spans="1:4" hidden="1" x14ac:dyDescent="0.25">
      <c r="A4453" t="s">
        <v>658</v>
      </c>
      <c r="B4453" t="s">
        <v>296</v>
      </c>
      <c r="C4453" s="2">
        <f>HYPERLINK("https://sao.dolgi.msk.ru/account/1404251564/", 1404251564)</f>
        <v>1404251564</v>
      </c>
      <c r="D4453">
        <v>-5813.96</v>
      </c>
    </row>
    <row r="4454" spans="1:4" x14ac:dyDescent="0.25">
      <c r="A4454" t="s">
        <v>658</v>
      </c>
      <c r="B4454" t="s">
        <v>297</v>
      </c>
      <c r="C4454" s="2">
        <f>HYPERLINK("https://sao.dolgi.msk.ru/account/1404250107/", 1404250107)</f>
        <v>1404250107</v>
      </c>
      <c r="D4454">
        <v>11.31</v>
      </c>
    </row>
    <row r="4455" spans="1:4" hidden="1" x14ac:dyDescent="0.25">
      <c r="A4455" t="s">
        <v>658</v>
      </c>
      <c r="B4455" t="s">
        <v>298</v>
      </c>
      <c r="C4455" s="2">
        <f>HYPERLINK("https://sao.dolgi.msk.ru/account/1404247864/", 1404247864)</f>
        <v>1404247864</v>
      </c>
      <c r="D4455">
        <v>-7653.44</v>
      </c>
    </row>
    <row r="4456" spans="1:4" hidden="1" x14ac:dyDescent="0.25">
      <c r="A4456" t="s">
        <v>658</v>
      </c>
      <c r="B4456" t="s">
        <v>299</v>
      </c>
      <c r="C4456" s="2">
        <f>HYPERLINK("https://sao.dolgi.msk.ru/account/1404248111/", 1404248111)</f>
        <v>1404248111</v>
      </c>
      <c r="D4456">
        <v>0</v>
      </c>
    </row>
    <row r="4457" spans="1:4" hidden="1" x14ac:dyDescent="0.25">
      <c r="A4457" t="s">
        <v>658</v>
      </c>
      <c r="B4457" t="s">
        <v>300</v>
      </c>
      <c r="C4457" s="2">
        <f>HYPERLINK("https://sao.dolgi.msk.ru/account/1404247792/", 1404247792)</f>
        <v>1404247792</v>
      </c>
      <c r="D4457">
        <v>-3190.11</v>
      </c>
    </row>
    <row r="4458" spans="1:4" hidden="1" x14ac:dyDescent="0.25">
      <c r="A4458" t="s">
        <v>658</v>
      </c>
      <c r="B4458" t="s">
        <v>301</v>
      </c>
      <c r="C4458" s="2">
        <f>HYPERLINK("https://sao.dolgi.msk.ru/account/1404250924/", 1404250924)</f>
        <v>1404250924</v>
      </c>
      <c r="D4458">
        <v>0</v>
      </c>
    </row>
    <row r="4459" spans="1:4" hidden="1" x14ac:dyDescent="0.25">
      <c r="A4459" t="s">
        <v>658</v>
      </c>
      <c r="B4459" t="s">
        <v>302</v>
      </c>
      <c r="C4459" s="2">
        <f>HYPERLINK("https://sao.dolgi.msk.ru/account/1404248621/", 1404248621)</f>
        <v>1404248621</v>
      </c>
      <c r="D4459">
        <v>0</v>
      </c>
    </row>
    <row r="4460" spans="1:4" hidden="1" x14ac:dyDescent="0.25">
      <c r="A4460" t="s">
        <v>658</v>
      </c>
      <c r="B4460" t="s">
        <v>303</v>
      </c>
      <c r="C4460" s="2">
        <f>HYPERLINK("https://sao.dolgi.msk.ru/account/1404250895/", 1404250895)</f>
        <v>1404250895</v>
      </c>
      <c r="D4460">
        <v>-5958.86</v>
      </c>
    </row>
    <row r="4461" spans="1:4" hidden="1" x14ac:dyDescent="0.25">
      <c r="A4461" t="s">
        <v>658</v>
      </c>
      <c r="B4461" t="s">
        <v>304</v>
      </c>
      <c r="C4461" s="2">
        <f>HYPERLINK("https://sao.dolgi.msk.ru/account/1404247362/", 1404247362)</f>
        <v>1404247362</v>
      </c>
      <c r="D4461">
        <v>-5260.69</v>
      </c>
    </row>
    <row r="4462" spans="1:4" hidden="1" x14ac:dyDescent="0.25">
      <c r="A4462" t="s">
        <v>658</v>
      </c>
      <c r="B4462" t="s">
        <v>305</v>
      </c>
      <c r="C4462" s="2">
        <f>HYPERLINK("https://sao.dolgi.msk.ru/account/1404247602/", 1404247602)</f>
        <v>1404247602</v>
      </c>
      <c r="D4462">
        <v>-4142.1099999999997</v>
      </c>
    </row>
    <row r="4463" spans="1:4" hidden="1" x14ac:dyDescent="0.25">
      <c r="A4463" t="s">
        <v>658</v>
      </c>
      <c r="B4463" t="s">
        <v>306</v>
      </c>
      <c r="C4463" s="2">
        <f>HYPERLINK("https://sao.dolgi.msk.ru/account/1404250828/", 1404250828)</f>
        <v>1404250828</v>
      </c>
      <c r="D4463">
        <v>-6376.24</v>
      </c>
    </row>
    <row r="4464" spans="1:4" hidden="1" x14ac:dyDescent="0.25">
      <c r="A4464" t="s">
        <v>658</v>
      </c>
      <c r="B4464" t="s">
        <v>307</v>
      </c>
      <c r="C4464" s="2">
        <f>HYPERLINK("https://sao.dolgi.msk.ru/account/1404249827/", 1404249827)</f>
        <v>1404249827</v>
      </c>
      <c r="D4464">
        <v>0</v>
      </c>
    </row>
    <row r="4465" spans="1:4" hidden="1" x14ac:dyDescent="0.25">
      <c r="A4465" t="s">
        <v>658</v>
      </c>
      <c r="B4465" t="s">
        <v>308</v>
      </c>
      <c r="C4465" s="2">
        <f>HYPERLINK("https://sao.dolgi.msk.ru/account/1404251476/", 1404251476)</f>
        <v>1404251476</v>
      </c>
      <c r="D4465">
        <v>-10560.35</v>
      </c>
    </row>
    <row r="4466" spans="1:4" hidden="1" x14ac:dyDescent="0.25">
      <c r="A4466" t="s">
        <v>658</v>
      </c>
      <c r="B4466" t="s">
        <v>309</v>
      </c>
      <c r="C4466" s="2">
        <f>HYPERLINK("https://sao.dolgi.msk.ru/account/1404251038/", 1404251038)</f>
        <v>1404251038</v>
      </c>
      <c r="D4466">
        <v>0</v>
      </c>
    </row>
    <row r="4467" spans="1:4" hidden="1" x14ac:dyDescent="0.25">
      <c r="A4467" t="s">
        <v>658</v>
      </c>
      <c r="B4467" t="s">
        <v>310</v>
      </c>
      <c r="C4467" s="2">
        <f>HYPERLINK("https://sao.dolgi.msk.ru/account/1404245965/", 1404245965)</f>
        <v>1404245965</v>
      </c>
      <c r="D4467">
        <v>0</v>
      </c>
    </row>
    <row r="4468" spans="1:4" hidden="1" x14ac:dyDescent="0.25">
      <c r="A4468" t="s">
        <v>658</v>
      </c>
      <c r="B4468" t="s">
        <v>311</v>
      </c>
      <c r="C4468" s="2">
        <f>HYPERLINK("https://sao.dolgi.msk.ru/account/1404250545/", 1404250545)</f>
        <v>1404250545</v>
      </c>
      <c r="D4468">
        <v>-4517.3</v>
      </c>
    </row>
    <row r="4469" spans="1:4" hidden="1" x14ac:dyDescent="0.25">
      <c r="A4469" t="s">
        <v>658</v>
      </c>
      <c r="B4469" t="s">
        <v>312</v>
      </c>
      <c r="C4469" s="2">
        <f>HYPERLINK("https://sao.dolgi.msk.ru/account/1404246642/", 1404246642)</f>
        <v>1404246642</v>
      </c>
      <c r="D4469">
        <v>-3702.06</v>
      </c>
    </row>
    <row r="4470" spans="1:4" x14ac:dyDescent="0.25">
      <c r="A4470" t="s">
        <v>658</v>
      </c>
      <c r="B4470" t="s">
        <v>313</v>
      </c>
      <c r="C4470" s="2">
        <f>HYPERLINK("https://sao.dolgi.msk.ru/account/1404246298/", 1404246298)</f>
        <v>1404246298</v>
      </c>
      <c r="D4470">
        <v>106904.46</v>
      </c>
    </row>
    <row r="4471" spans="1:4" hidden="1" x14ac:dyDescent="0.25">
      <c r="A4471" t="s">
        <v>658</v>
      </c>
      <c r="B4471" t="s">
        <v>314</v>
      </c>
      <c r="C4471" s="2">
        <f>HYPERLINK("https://sao.dolgi.msk.ru/account/1404246538/", 1404246538)</f>
        <v>1404246538</v>
      </c>
      <c r="D4471">
        <v>-7683.53</v>
      </c>
    </row>
    <row r="4472" spans="1:4" hidden="1" x14ac:dyDescent="0.25">
      <c r="A4472" t="s">
        <v>658</v>
      </c>
      <c r="B4472" t="s">
        <v>315</v>
      </c>
      <c r="C4472" s="2">
        <f>HYPERLINK("https://sao.dolgi.msk.ru/account/1404250086/", 1404250086)</f>
        <v>1404250086</v>
      </c>
      <c r="D4472">
        <v>-4954.2299999999996</v>
      </c>
    </row>
    <row r="4473" spans="1:4" x14ac:dyDescent="0.25">
      <c r="A4473" t="s">
        <v>658</v>
      </c>
      <c r="B4473" t="s">
        <v>316</v>
      </c>
      <c r="C4473" s="2">
        <f>HYPERLINK("https://sao.dolgi.msk.ru/account/1404251345/", 1404251345)</f>
        <v>1404251345</v>
      </c>
      <c r="D4473">
        <v>15445.41</v>
      </c>
    </row>
    <row r="4474" spans="1:4" hidden="1" x14ac:dyDescent="0.25">
      <c r="A4474" t="s">
        <v>658</v>
      </c>
      <c r="B4474" t="s">
        <v>317</v>
      </c>
      <c r="C4474" s="2">
        <f>HYPERLINK("https://sao.dolgi.msk.ru/account/1404249261/", 1404249261)</f>
        <v>1404249261</v>
      </c>
      <c r="D4474">
        <v>0</v>
      </c>
    </row>
    <row r="4475" spans="1:4" x14ac:dyDescent="0.25">
      <c r="A4475" t="s">
        <v>658</v>
      </c>
      <c r="B4475" t="s">
        <v>318</v>
      </c>
      <c r="C4475" s="2">
        <f>HYPERLINK("https://sao.dolgi.msk.ru/account/1404249202/", 1404249202)</f>
        <v>1404249202</v>
      </c>
      <c r="D4475">
        <v>119.65</v>
      </c>
    </row>
    <row r="4476" spans="1:4" hidden="1" x14ac:dyDescent="0.25">
      <c r="A4476" t="s">
        <v>658</v>
      </c>
      <c r="B4476" t="s">
        <v>319</v>
      </c>
      <c r="C4476" s="2">
        <f>HYPERLINK("https://sao.dolgi.msk.ru/account/1404251521/", 1404251521)</f>
        <v>1404251521</v>
      </c>
      <c r="D4476">
        <v>-6070.37</v>
      </c>
    </row>
    <row r="4477" spans="1:4" hidden="1" x14ac:dyDescent="0.25">
      <c r="A4477" t="s">
        <v>658</v>
      </c>
      <c r="B4477" t="s">
        <v>422</v>
      </c>
      <c r="C4477" s="2">
        <f>HYPERLINK("https://sao.dolgi.msk.ru/account/1404249253/", 1404249253)</f>
        <v>1404249253</v>
      </c>
      <c r="D4477">
        <v>-5455.85</v>
      </c>
    </row>
    <row r="4478" spans="1:4" hidden="1" x14ac:dyDescent="0.25">
      <c r="A4478" t="s">
        <v>658</v>
      </c>
      <c r="B4478" t="s">
        <v>423</v>
      </c>
      <c r="C4478" s="2">
        <f>HYPERLINK("https://sao.dolgi.msk.ru/account/1404250553/", 1404250553)</f>
        <v>1404250553</v>
      </c>
      <c r="D4478">
        <v>-6454.2</v>
      </c>
    </row>
    <row r="4479" spans="1:4" hidden="1" x14ac:dyDescent="0.25">
      <c r="A4479" t="s">
        <v>658</v>
      </c>
      <c r="B4479" t="s">
        <v>424</v>
      </c>
      <c r="C4479" s="2">
        <f>HYPERLINK("https://sao.dolgi.msk.ru/account/1404251337/", 1404251337)</f>
        <v>1404251337</v>
      </c>
      <c r="D4479">
        <v>-7091.84</v>
      </c>
    </row>
    <row r="4480" spans="1:4" hidden="1" x14ac:dyDescent="0.25">
      <c r="A4480" t="s">
        <v>658</v>
      </c>
      <c r="B4480" t="s">
        <v>425</v>
      </c>
      <c r="C4480" s="2">
        <f>HYPERLINK("https://sao.dolgi.msk.ru/account/1404247231/", 1404247231)</f>
        <v>1404247231</v>
      </c>
      <c r="D4480">
        <v>-4441.63</v>
      </c>
    </row>
    <row r="4481" spans="1:4" hidden="1" x14ac:dyDescent="0.25">
      <c r="A4481" t="s">
        <v>658</v>
      </c>
      <c r="B4481" t="s">
        <v>426</v>
      </c>
      <c r="C4481" s="2">
        <f>HYPERLINK("https://sao.dolgi.msk.ru/account/1404248381/", 1404248381)</f>
        <v>1404248381</v>
      </c>
      <c r="D4481">
        <v>-4126.57</v>
      </c>
    </row>
    <row r="4482" spans="1:4" hidden="1" x14ac:dyDescent="0.25">
      <c r="A4482" t="s">
        <v>658</v>
      </c>
      <c r="B4482" t="s">
        <v>427</v>
      </c>
      <c r="C4482" s="2">
        <f>HYPERLINK("https://sao.dolgi.msk.ru/account/1404248146/", 1404248146)</f>
        <v>1404248146</v>
      </c>
      <c r="D4482">
        <v>-5317.83</v>
      </c>
    </row>
    <row r="4483" spans="1:4" hidden="1" x14ac:dyDescent="0.25">
      <c r="A4483" t="s">
        <v>658</v>
      </c>
      <c r="B4483" t="s">
        <v>428</v>
      </c>
      <c r="C4483" s="2">
        <f>HYPERLINK("https://sao.dolgi.msk.ru/account/1404249771/", 1404249771)</f>
        <v>1404249771</v>
      </c>
      <c r="D4483">
        <v>-7082.15</v>
      </c>
    </row>
    <row r="4484" spans="1:4" hidden="1" x14ac:dyDescent="0.25">
      <c r="A4484" t="s">
        <v>658</v>
      </c>
      <c r="B4484" t="s">
        <v>321</v>
      </c>
      <c r="C4484" s="2">
        <f>HYPERLINK("https://sao.dolgi.msk.ru/account/1404246407/", 1404246407)</f>
        <v>1404246407</v>
      </c>
      <c r="D4484">
        <v>-4306.8900000000003</v>
      </c>
    </row>
    <row r="4485" spans="1:4" hidden="1" x14ac:dyDescent="0.25">
      <c r="A4485" t="s">
        <v>658</v>
      </c>
      <c r="B4485" t="s">
        <v>322</v>
      </c>
      <c r="C4485" s="2">
        <f>HYPERLINK("https://sao.dolgi.msk.ru/account/1404248728/", 1404248728)</f>
        <v>1404248728</v>
      </c>
      <c r="D4485">
        <v>-7033.78</v>
      </c>
    </row>
    <row r="4486" spans="1:4" hidden="1" x14ac:dyDescent="0.25">
      <c r="A4486" t="s">
        <v>658</v>
      </c>
      <c r="B4486" t="s">
        <v>323</v>
      </c>
      <c r="C4486" s="2">
        <f>HYPERLINK("https://sao.dolgi.msk.ru/account/1404249157/", 1404249157)</f>
        <v>1404249157</v>
      </c>
      <c r="D4486">
        <v>-6117.43</v>
      </c>
    </row>
    <row r="4487" spans="1:4" hidden="1" x14ac:dyDescent="0.25">
      <c r="A4487" t="s">
        <v>658</v>
      </c>
      <c r="B4487" t="s">
        <v>324</v>
      </c>
      <c r="C4487" s="2">
        <f>HYPERLINK("https://sao.dolgi.msk.ru/account/1404250887/", 1404250887)</f>
        <v>1404250887</v>
      </c>
      <c r="D4487">
        <v>-3189.23</v>
      </c>
    </row>
    <row r="4488" spans="1:4" hidden="1" x14ac:dyDescent="0.25">
      <c r="A4488" t="s">
        <v>658</v>
      </c>
      <c r="B4488" t="s">
        <v>325</v>
      </c>
      <c r="C4488" s="2">
        <f>HYPERLINK("https://sao.dolgi.msk.ru/account/1404247389/", 1404247389)</f>
        <v>1404247389</v>
      </c>
      <c r="D4488">
        <v>0</v>
      </c>
    </row>
    <row r="4489" spans="1:4" x14ac:dyDescent="0.25">
      <c r="A4489" t="s">
        <v>658</v>
      </c>
      <c r="B4489" t="s">
        <v>326</v>
      </c>
      <c r="C4489" s="2">
        <f>HYPERLINK("https://sao.dolgi.msk.ru/account/1404247223/", 1404247223)</f>
        <v>1404247223</v>
      </c>
      <c r="D4489">
        <v>3693.46</v>
      </c>
    </row>
    <row r="4490" spans="1:4" hidden="1" x14ac:dyDescent="0.25">
      <c r="A4490" t="s">
        <v>658</v>
      </c>
      <c r="B4490" t="s">
        <v>327</v>
      </c>
      <c r="C4490" s="2">
        <f>HYPERLINK("https://sao.dolgi.msk.ru/account/1404246327/", 1404246327)</f>
        <v>1404246327</v>
      </c>
      <c r="D4490">
        <v>-6624.78</v>
      </c>
    </row>
    <row r="4491" spans="1:4" hidden="1" x14ac:dyDescent="0.25">
      <c r="A4491" t="s">
        <v>658</v>
      </c>
      <c r="B4491" t="s">
        <v>328</v>
      </c>
      <c r="C4491" s="2">
        <f>HYPERLINK("https://sao.dolgi.msk.ru/account/1404248488/", 1404248488)</f>
        <v>1404248488</v>
      </c>
      <c r="D4491">
        <v>-5813.96</v>
      </c>
    </row>
    <row r="4492" spans="1:4" hidden="1" x14ac:dyDescent="0.25">
      <c r="A4492" t="s">
        <v>658</v>
      </c>
      <c r="B4492" t="s">
        <v>329</v>
      </c>
      <c r="C4492" s="2">
        <f>HYPERLINK("https://sao.dolgi.msk.ru/account/1404248808/", 1404248808)</f>
        <v>1404248808</v>
      </c>
      <c r="D4492">
        <v>-4557.54</v>
      </c>
    </row>
    <row r="4493" spans="1:4" hidden="1" x14ac:dyDescent="0.25">
      <c r="A4493" t="s">
        <v>658</v>
      </c>
      <c r="B4493" t="s">
        <v>330</v>
      </c>
      <c r="C4493" s="2">
        <f>HYPERLINK("https://sao.dolgi.msk.ru/account/1404249122/", 1404249122)</f>
        <v>1404249122</v>
      </c>
      <c r="D4493">
        <v>-4449.5600000000004</v>
      </c>
    </row>
    <row r="4494" spans="1:4" hidden="1" x14ac:dyDescent="0.25">
      <c r="A4494" t="s">
        <v>658</v>
      </c>
      <c r="B4494" t="s">
        <v>331</v>
      </c>
      <c r="C4494" s="2">
        <f>HYPERLINK("https://sao.dolgi.msk.ru/account/1404250537/", 1404250537)</f>
        <v>1404250537</v>
      </c>
      <c r="D4494">
        <v>-6763.54</v>
      </c>
    </row>
    <row r="4495" spans="1:4" hidden="1" x14ac:dyDescent="0.25">
      <c r="A4495" t="s">
        <v>658</v>
      </c>
      <c r="B4495" t="s">
        <v>332</v>
      </c>
      <c r="C4495" s="2">
        <f>HYPERLINK("https://sao.dolgi.msk.ru/account/1404251206/", 1404251206)</f>
        <v>1404251206</v>
      </c>
      <c r="D4495">
        <v>-7162.02</v>
      </c>
    </row>
    <row r="4496" spans="1:4" x14ac:dyDescent="0.25">
      <c r="A4496" t="s">
        <v>658</v>
      </c>
      <c r="B4496" t="s">
        <v>333</v>
      </c>
      <c r="C4496" s="2">
        <f>HYPERLINK("https://sao.dolgi.msk.ru/account/1404251409/", 1404251409)</f>
        <v>1404251409</v>
      </c>
      <c r="D4496">
        <v>18357.54</v>
      </c>
    </row>
    <row r="4497" spans="1:4" x14ac:dyDescent="0.25">
      <c r="A4497" t="s">
        <v>658</v>
      </c>
      <c r="B4497" t="s">
        <v>334</v>
      </c>
      <c r="C4497" s="2">
        <f>HYPERLINK("https://sao.dolgi.msk.ru/account/1404250342/", 1404250342)</f>
        <v>1404250342</v>
      </c>
      <c r="D4497">
        <v>14253.5</v>
      </c>
    </row>
    <row r="4498" spans="1:4" hidden="1" x14ac:dyDescent="0.25">
      <c r="A4498" t="s">
        <v>658</v>
      </c>
      <c r="B4498" t="s">
        <v>335</v>
      </c>
      <c r="C4498" s="2">
        <f>HYPERLINK("https://sao.dolgi.msk.ru/account/1404249851/", 1404249851)</f>
        <v>1404249851</v>
      </c>
      <c r="D4498">
        <v>0</v>
      </c>
    </row>
    <row r="4499" spans="1:4" hidden="1" x14ac:dyDescent="0.25">
      <c r="A4499" t="s">
        <v>658</v>
      </c>
      <c r="B4499" t="s">
        <v>336</v>
      </c>
      <c r="C4499" s="2">
        <f>HYPERLINK("https://sao.dolgi.msk.ru/account/1404249739/", 1404249739)</f>
        <v>1404249739</v>
      </c>
      <c r="D4499">
        <v>-6311.87</v>
      </c>
    </row>
    <row r="4500" spans="1:4" hidden="1" x14ac:dyDescent="0.25">
      <c r="A4500" t="s">
        <v>658</v>
      </c>
      <c r="B4500" t="s">
        <v>337</v>
      </c>
      <c r="C4500" s="2">
        <f>HYPERLINK("https://sao.dolgi.msk.ru/account/1404246052/", 1404246052)</f>
        <v>1404246052</v>
      </c>
      <c r="D4500">
        <v>-7054.48</v>
      </c>
    </row>
    <row r="4501" spans="1:4" x14ac:dyDescent="0.25">
      <c r="A4501" t="s">
        <v>658</v>
      </c>
      <c r="B4501" t="s">
        <v>338</v>
      </c>
      <c r="C4501" s="2">
        <f>HYPERLINK("https://sao.dolgi.msk.ru/account/1404248189/", 1404248189)</f>
        <v>1404248189</v>
      </c>
      <c r="D4501">
        <v>9392.2000000000007</v>
      </c>
    </row>
    <row r="4502" spans="1:4" x14ac:dyDescent="0.25">
      <c r="A4502" t="s">
        <v>658</v>
      </c>
      <c r="B4502" t="s">
        <v>339</v>
      </c>
      <c r="C4502" s="2">
        <f>HYPERLINK("https://sao.dolgi.msk.ru/account/1404250801/", 1404250801)</f>
        <v>1404250801</v>
      </c>
      <c r="D4502">
        <v>4247.18</v>
      </c>
    </row>
    <row r="4503" spans="1:4" hidden="1" x14ac:dyDescent="0.25">
      <c r="A4503" t="s">
        <v>658</v>
      </c>
      <c r="B4503" t="s">
        <v>340</v>
      </c>
      <c r="C4503" s="2">
        <f>HYPERLINK("https://sao.dolgi.msk.ru/account/1404246263/", 1404246263)</f>
        <v>1404246263</v>
      </c>
      <c r="D4503">
        <v>0</v>
      </c>
    </row>
    <row r="4504" spans="1:4" hidden="1" x14ac:dyDescent="0.25">
      <c r="A4504" t="s">
        <v>658</v>
      </c>
      <c r="B4504" t="s">
        <v>341</v>
      </c>
      <c r="C4504" s="2">
        <f>HYPERLINK("https://sao.dolgi.msk.ru/account/1404248357/", 1404248357)</f>
        <v>1404248357</v>
      </c>
      <c r="D4504">
        <v>-6464.41</v>
      </c>
    </row>
    <row r="4505" spans="1:4" hidden="1" x14ac:dyDescent="0.25">
      <c r="A4505" t="s">
        <v>658</v>
      </c>
      <c r="B4505" t="s">
        <v>342</v>
      </c>
      <c r="C4505" s="2">
        <f>HYPERLINK("https://sao.dolgi.msk.ru/account/1404246183/", 1404246183)</f>
        <v>1404246183</v>
      </c>
      <c r="D4505">
        <v>-5443.09</v>
      </c>
    </row>
    <row r="4506" spans="1:4" hidden="1" x14ac:dyDescent="0.25">
      <c r="A4506" t="s">
        <v>658</v>
      </c>
      <c r="B4506" t="s">
        <v>343</v>
      </c>
      <c r="C4506" s="2">
        <f>HYPERLINK("https://sao.dolgi.msk.ru/account/1404250369/", 1404250369)</f>
        <v>1404250369</v>
      </c>
      <c r="D4506">
        <v>0</v>
      </c>
    </row>
    <row r="4507" spans="1:4" hidden="1" x14ac:dyDescent="0.25">
      <c r="A4507" t="s">
        <v>658</v>
      </c>
      <c r="B4507" t="s">
        <v>344</v>
      </c>
      <c r="C4507" s="2">
        <f>HYPERLINK("https://sao.dolgi.msk.ru/account/1404251003/", 1404251003)</f>
        <v>1404251003</v>
      </c>
      <c r="D4507">
        <v>-4278.58</v>
      </c>
    </row>
    <row r="4508" spans="1:4" x14ac:dyDescent="0.25">
      <c r="A4508" t="s">
        <v>658</v>
      </c>
      <c r="B4508" t="s">
        <v>345</v>
      </c>
      <c r="C4508" s="2">
        <f>HYPERLINK("https://sao.dolgi.msk.ru/account/1404251556/", 1404251556)</f>
        <v>1404251556</v>
      </c>
      <c r="D4508">
        <v>3255.87</v>
      </c>
    </row>
    <row r="4509" spans="1:4" hidden="1" x14ac:dyDescent="0.25">
      <c r="A4509" t="s">
        <v>658</v>
      </c>
      <c r="B4509" t="s">
        <v>346</v>
      </c>
      <c r="C4509" s="2">
        <f>HYPERLINK("https://sao.dolgi.msk.ru/account/1404249173/", 1404249173)</f>
        <v>1404249173</v>
      </c>
      <c r="D4509">
        <v>-6884.01</v>
      </c>
    </row>
    <row r="4510" spans="1:4" hidden="1" x14ac:dyDescent="0.25">
      <c r="A4510" t="s">
        <v>658</v>
      </c>
      <c r="B4510" t="s">
        <v>347</v>
      </c>
      <c r="C4510" s="2">
        <f>HYPERLINK("https://sao.dolgi.msk.ru/account/1404251134/", 1404251134)</f>
        <v>1404251134</v>
      </c>
      <c r="D4510">
        <v>-7789.8</v>
      </c>
    </row>
    <row r="4511" spans="1:4" x14ac:dyDescent="0.25">
      <c r="A4511" t="s">
        <v>658</v>
      </c>
      <c r="B4511" t="s">
        <v>348</v>
      </c>
      <c r="C4511" s="2">
        <f>HYPERLINK("https://sao.dolgi.msk.ru/account/1404250078/", 1404250078)</f>
        <v>1404250078</v>
      </c>
      <c r="D4511">
        <v>4232.0600000000004</v>
      </c>
    </row>
    <row r="4512" spans="1:4" hidden="1" x14ac:dyDescent="0.25">
      <c r="A4512" t="s">
        <v>658</v>
      </c>
      <c r="B4512" t="s">
        <v>349</v>
      </c>
      <c r="C4512" s="2">
        <f>HYPERLINK("https://sao.dolgi.msk.ru/account/1404246204/", 1404246204)</f>
        <v>1404246204</v>
      </c>
      <c r="D4512">
        <v>-4980.6099999999997</v>
      </c>
    </row>
    <row r="4513" spans="1:4" hidden="1" x14ac:dyDescent="0.25">
      <c r="A4513" t="s">
        <v>658</v>
      </c>
      <c r="B4513" t="s">
        <v>350</v>
      </c>
      <c r="C4513" s="2">
        <f>HYPERLINK("https://sao.dolgi.msk.ru/account/1404251222/", 1404251222)</f>
        <v>1404251222</v>
      </c>
      <c r="D4513">
        <v>-8226.7800000000007</v>
      </c>
    </row>
    <row r="4514" spans="1:4" hidden="1" x14ac:dyDescent="0.25">
      <c r="A4514" t="s">
        <v>658</v>
      </c>
      <c r="B4514" t="s">
        <v>351</v>
      </c>
      <c r="C4514" s="2">
        <f>HYPERLINK("https://sao.dolgi.msk.ru/account/1404246108/", 1404246108)</f>
        <v>1404246108</v>
      </c>
      <c r="D4514">
        <v>-7505.62</v>
      </c>
    </row>
    <row r="4515" spans="1:4" hidden="1" x14ac:dyDescent="0.25">
      <c r="A4515" t="s">
        <v>658</v>
      </c>
      <c r="B4515" t="s">
        <v>352</v>
      </c>
      <c r="C4515" s="2">
        <f>HYPERLINK("https://sao.dolgi.msk.ru/account/1404246335/", 1404246335)</f>
        <v>1404246335</v>
      </c>
      <c r="D4515">
        <v>-8981.2999999999993</v>
      </c>
    </row>
    <row r="4516" spans="1:4" hidden="1" x14ac:dyDescent="0.25">
      <c r="A4516" t="s">
        <v>658</v>
      </c>
      <c r="B4516" t="s">
        <v>352</v>
      </c>
      <c r="C4516" s="2">
        <f>HYPERLINK("https://sao.dolgi.msk.ru/account/1404249421/", 1404249421)</f>
        <v>1404249421</v>
      </c>
      <c r="D4516">
        <v>-2176.7399999999998</v>
      </c>
    </row>
    <row r="4517" spans="1:4" hidden="1" x14ac:dyDescent="0.25">
      <c r="A4517" t="s">
        <v>658</v>
      </c>
      <c r="B4517" t="s">
        <v>353</v>
      </c>
      <c r="C4517" s="2">
        <f>HYPERLINK("https://sao.dolgi.msk.ru/account/1404246079/", 1404246079)</f>
        <v>1404246079</v>
      </c>
      <c r="D4517">
        <v>0</v>
      </c>
    </row>
    <row r="4518" spans="1:4" hidden="1" x14ac:dyDescent="0.25">
      <c r="A4518" t="s">
        <v>658</v>
      </c>
      <c r="B4518" t="s">
        <v>354</v>
      </c>
      <c r="C4518" s="2">
        <f>HYPERLINK("https://sao.dolgi.msk.ru/account/1404250246/", 1404250246)</f>
        <v>1404250246</v>
      </c>
      <c r="D4518">
        <v>-5552.9</v>
      </c>
    </row>
    <row r="4519" spans="1:4" hidden="1" x14ac:dyDescent="0.25">
      <c r="A4519" t="s">
        <v>658</v>
      </c>
      <c r="B4519" t="s">
        <v>355</v>
      </c>
      <c r="C4519" s="2">
        <f>HYPERLINK("https://sao.dolgi.msk.ru/account/1404248293/", 1404248293)</f>
        <v>1404248293</v>
      </c>
      <c r="D4519">
        <v>-856.23</v>
      </c>
    </row>
    <row r="4520" spans="1:4" hidden="1" x14ac:dyDescent="0.25">
      <c r="A4520" t="s">
        <v>658</v>
      </c>
      <c r="B4520" t="s">
        <v>356</v>
      </c>
      <c r="C4520" s="2">
        <f>HYPERLINK("https://sao.dolgi.msk.ru/account/1404251548/", 1404251548)</f>
        <v>1404251548</v>
      </c>
      <c r="D4520">
        <v>-6767.25</v>
      </c>
    </row>
    <row r="4521" spans="1:4" x14ac:dyDescent="0.25">
      <c r="A4521" t="s">
        <v>658</v>
      </c>
      <c r="B4521" t="s">
        <v>357</v>
      </c>
      <c r="C4521" s="2">
        <f>HYPERLINK("https://sao.dolgi.msk.ru/account/1404249317/", 1404249317)</f>
        <v>1404249317</v>
      </c>
      <c r="D4521">
        <v>27832.89</v>
      </c>
    </row>
    <row r="4522" spans="1:4" hidden="1" x14ac:dyDescent="0.25">
      <c r="A4522" t="s">
        <v>658</v>
      </c>
      <c r="B4522" t="s">
        <v>358</v>
      </c>
      <c r="C4522" s="2">
        <f>HYPERLINK("https://sao.dolgi.msk.ru/account/1404249747/", 1404249747)</f>
        <v>1404249747</v>
      </c>
      <c r="D4522">
        <v>-5787.68</v>
      </c>
    </row>
    <row r="4523" spans="1:4" hidden="1" x14ac:dyDescent="0.25">
      <c r="A4523" t="s">
        <v>658</v>
      </c>
      <c r="B4523" t="s">
        <v>359</v>
      </c>
      <c r="C4523" s="2">
        <f>HYPERLINK("https://sao.dolgi.msk.ru/account/1404249499/", 1404249499)</f>
        <v>1404249499</v>
      </c>
      <c r="D4523">
        <v>-4690.92</v>
      </c>
    </row>
    <row r="4524" spans="1:4" hidden="1" x14ac:dyDescent="0.25">
      <c r="A4524" t="s">
        <v>658</v>
      </c>
      <c r="B4524" t="s">
        <v>360</v>
      </c>
      <c r="C4524" s="2">
        <f>HYPERLINK("https://sao.dolgi.msk.ru/account/1404249341/", 1404249341)</f>
        <v>1404249341</v>
      </c>
      <c r="D4524">
        <v>-7204.77</v>
      </c>
    </row>
    <row r="4525" spans="1:4" hidden="1" x14ac:dyDescent="0.25">
      <c r="A4525" t="s">
        <v>658</v>
      </c>
      <c r="B4525" t="s">
        <v>361</v>
      </c>
      <c r="C4525" s="2">
        <f>HYPERLINK("https://sao.dolgi.msk.ru/account/1404246132/", 1404246132)</f>
        <v>1404246132</v>
      </c>
      <c r="D4525">
        <v>-5866.96</v>
      </c>
    </row>
    <row r="4526" spans="1:4" hidden="1" x14ac:dyDescent="0.25">
      <c r="A4526" t="s">
        <v>658</v>
      </c>
      <c r="B4526" t="s">
        <v>362</v>
      </c>
      <c r="C4526" s="2">
        <f>HYPERLINK("https://sao.dolgi.msk.ru/account/1404248912/", 1404248912)</f>
        <v>1404248912</v>
      </c>
      <c r="D4526">
        <v>-8387.36</v>
      </c>
    </row>
    <row r="4527" spans="1:4" hidden="1" x14ac:dyDescent="0.25">
      <c r="A4527" t="s">
        <v>658</v>
      </c>
      <c r="B4527" t="s">
        <v>363</v>
      </c>
      <c r="C4527" s="2">
        <f>HYPERLINK("https://sao.dolgi.msk.ru/account/1404247119/", 1404247119)</f>
        <v>1404247119</v>
      </c>
      <c r="D4527">
        <v>-6958.35</v>
      </c>
    </row>
    <row r="4528" spans="1:4" hidden="1" x14ac:dyDescent="0.25">
      <c r="A4528" t="s">
        <v>658</v>
      </c>
      <c r="B4528" t="s">
        <v>364</v>
      </c>
      <c r="C4528" s="2">
        <f>HYPERLINK("https://sao.dolgi.msk.ru/account/1404246917/", 1404246917)</f>
        <v>1404246917</v>
      </c>
      <c r="D4528">
        <v>-3379.32</v>
      </c>
    </row>
    <row r="4529" spans="1:4" hidden="1" x14ac:dyDescent="0.25">
      <c r="A4529" t="s">
        <v>658</v>
      </c>
      <c r="B4529" t="s">
        <v>364</v>
      </c>
      <c r="C4529" s="2">
        <f>HYPERLINK("https://sao.dolgi.msk.ru/account/1404249974/", 1404249974)</f>
        <v>1404249974</v>
      </c>
      <c r="D4529">
        <v>-3265.29</v>
      </c>
    </row>
    <row r="4530" spans="1:4" hidden="1" x14ac:dyDescent="0.25">
      <c r="A4530" t="s">
        <v>658</v>
      </c>
      <c r="B4530" t="s">
        <v>365</v>
      </c>
      <c r="C4530" s="2">
        <f>HYPERLINK("https://sao.dolgi.msk.ru/account/1404247098/", 1404247098)</f>
        <v>1404247098</v>
      </c>
      <c r="D4530">
        <v>-8469.99</v>
      </c>
    </row>
    <row r="4531" spans="1:4" hidden="1" x14ac:dyDescent="0.25">
      <c r="A4531" t="s">
        <v>658</v>
      </c>
      <c r="B4531" t="s">
        <v>366</v>
      </c>
      <c r="C4531" s="2">
        <f>HYPERLINK("https://sao.dolgi.msk.ru/account/1404248699/", 1404248699)</f>
        <v>1404248699</v>
      </c>
      <c r="D4531">
        <v>-6874.86</v>
      </c>
    </row>
    <row r="4532" spans="1:4" hidden="1" x14ac:dyDescent="0.25">
      <c r="A4532" t="s">
        <v>658</v>
      </c>
      <c r="B4532" t="s">
        <v>367</v>
      </c>
      <c r="C4532" s="2">
        <f>HYPERLINK("https://sao.dolgi.msk.ru/account/1404248795/", 1404248795)</f>
        <v>1404248795</v>
      </c>
      <c r="D4532">
        <v>-1230.7</v>
      </c>
    </row>
    <row r="4533" spans="1:4" hidden="1" x14ac:dyDescent="0.25">
      <c r="A4533" t="s">
        <v>658</v>
      </c>
      <c r="B4533" t="s">
        <v>368</v>
      </c>
      <c r="C4533" s="2">
        <f>HYPERLINK("https://sao.dolgi.msk.ru/account/1404251249/", 1404251249)</f>
        <v>1404251249</v>
      </c>
      <c r="D4533">
        <v>-1512.71</v>
      </c>
    </row>
    <row r="4534" spans="1:4" hidden="1" x14ac:dyDescent="0.25">
      <c r="A4534" t="s">
        <v>658</v>
      </c>
      <c r="B4534" t="s">
        <v>369</v>
      </c>
      <c r="C4534" s="2">
        <f>HYPERLINK("https://sao.dolgi.msk.ru/account/1404246925/", 1404246925)</f>
        <v>1404246925</v>
      </c>
      <c r="D4534">
        <v>0</v>
      </c>
    </row>
    <row r="4535" spans="1:4" hidden="1" x14ac:dyDescent="0.25">
      <c r="A4535" t="s">
        <v>658</v>
      </c>
      <c r="B4535" t="s">
        <v>370</v>
      </c>
      <c r="C4535" s="2">
        <f>HYPERLINK("https://sao.dolgi.msk.ru/account/1404249667/", 1404249667)</f>
        <v>1404249667</v>
      </c>
      <c r="D4535">
        <v>-9774.49</v>
      </c>
    </row>
    <row r="4536" spans="1:4" x14ac:dyDescent="0.25">
      <c r="A4536" t="s">
        <v>658</v>
      </c>
      <c r="B4536" t="s">
        <v>371</v>
      </c>
      <c r="C4536" s="2">
        <f>HYPERLINK("https://sao.dolgi.msk.ru/account/1404251265/", 1404251265)</f>
        <v>1404251265</v>
      </c>
      <c r="D4536">
        <v>7067.36</v>
      </c>
    </row>
    <row r="4537" spans="1:4" hidden="1" x14ac:dyDescent="0.25">
      <c r="A4537" t="s">
        <v>658</v>
      </c>
      <c r="B4537" t="s">
        <v>372</v>
      </c>
      <c r="C4537" s="2">
        <f>HYPERLINK("https://sao.dolgi.msk.ru/account/1404247768/", 1404247768)</f>
        <v>1404247768</v>
      </c>
      <c r="D4537">
        <v>-10450.57</v>
      </c>
    </row>
    <row r="4538" spans="1:4" hidden="1" x14ac:dyDescent="0.25">
      <c r="A4538" t="s">
        <v>658</v>
      </c>
      <c r="B4538" t="s">
        <v>373</v>
      </c>
      <c r="C4538" s="2">
        <f>HYPERLINK("https://sao.dolgi.msk.ru/account/1404247493/", 1404247493)</f>
        <v>1404247493</v>
      </c>
      <c r="D4538">
        <v>-9809.82</v>
      </c>
    </row>
    <row r="4539" spans="1:4" hidden="1" x14ac:dyDescent="0.25">
      <c r="A4539" t="s">
        <v>658</v>
      </c>
      <c r="B4539" t="s">
        <v>374</v>
      </c>
      <c r="C4539" s="2">
        <f>HYPERLINK("https://sao.dolgi.msk.ru/account/1404249376/", 1404249376)</f>
        <v>1404249376</v>
      </c>
      <c r="D4539">
        <v>-6531.78</v>
      </c>
    </row>
    <row r="4540" spans="1:4" x14ac:dyDescent="0.25">
      <c r="A4540" t="s">
        <v>658</v>
      </c>
      <c r="B4540" t="s">
        <v>375</v>
      </c>
      <c r="C4540" s="2">
        <f>HYPERLINK("https://sao.dolgi.msk.ru/account/1404249923/", 1404249923)</f>
        <v>1404249923</v>
      </c>
      <c r="D4540">
        <v>3914</v>
      </c>
    </row>
    <row r="4541" spans="1:4" hidden="1" x14ac:dyDescent="0.25">
      <c r="A4541" t="s">
        <v>658</v>
      </c>
      <c r="B4541" t="s">
        <v>376</v>
      </c>
      <c r="C4541" s="2">
        <f>HYPERLINK("https://sao.dolgi.msk.ru/account/1404247039/", 1404247039)</f>
        <v>1404247039</v>
      </c>
      <c r="D4541">
        <v>-2377.19</v>
      </c>
    </row>
    <row r="4542" spans="1:4" hidden="1" x14ac:dyDescent="0.25">
      <c r="A4542" t="s">
        <v>658</v>
      </c>
      <c r="B4542" t="s">
        <v>377</v>
      </c>
      <c r="C4542" s="2">
        <f>HYPERLINK("https://sao.dolgi.msk.ru/account/1404249237/", 1404249237)</f>
        <v>1404249237</v>
      </c>
      <c r="D4542">
        <v>0</v>
      </c>
    </row>
    <row r="4543" spans="1:4" hidden="1" x14ac:dyDescent="0.25">
      <c r="A4543" t="s">
        <v>658</v>
      </c>
      <c r="B4543" t="s">
        <v>378</v>
      </c>
      <c r="C4543" s="2">
        <f>HYPERLINK("https://sao.dolgi.msk.ru/account/1404251396/", 1404251396)</f>
        <v>1404251396</v>
      </c>
      <c r="D4543">
        <v>0</v>
      </c>
    </row>
    <row r="4544" spans="1:4" hidden="1" x14ac:dyDescent="0.25">
      <c r="A4544" t="s">
        <v>658</v>
      </c>
      <c r="B4544" t="s">
        <v>379</v>
      </c>
      <c r="C4544" s="2">
        <f>HYPERLINK("https://sao.dolgi.msk.ru/account/1404246677/", 1404246677)</f>
        <v>1404246677</v>
      </c>
      <c r="D4544">
        <v>-7778.69</v>
      </c>
    </row>
    <row r="4545" spans="1:4" x14ac:dyDescent="0.25">
      <c r="A4545" t="s">
        <v>658</v>
      </c>
      <c r="B4545" t="s">
        <v>380</v>
      </c>
      <c r="C4545" s="2">
        <f>HYPERLINK("https://sao.dolgi.msk.ru/account/1404248349/", 1404248349)</f>
        <v>1404248349</v>
      </c>
      <c r="D4545">
        <v>3505.61</v>
      </c>
    </row>
    <row r="4546" spans="1:4" hidden="1" x14ac:dyDescent="0.25">
      <c r="A4546" t="s">
        <v>658</v>
      </c>
      <c r="B4546" t="s">
        <v>381</v>
      </c>
      <c r="C4546" s="2">
        <f>HYPERLINK("https://sao.dolgi.msk.ru/account/1404251599/", 1404251599)</f>
        <v>1404251599</v>
      </c>
      <c r="D4546">
        <v>-8298.9500000000007</v>
      </c>
    </row>
    <row r="4547" spans="1:4" hidden="1" x14ac:dyDescent="0.25">
      <c r="A4547" t="s">
        <v>658</v>
      </c>
      <c r="B4547" t="s">
        <v>382</v>
      </c>
      <c r="C4547" s="2">
        <f>HYPERLINK("https://sao.dolgi.msk.ru/account/1404248656/", 1404248656)</f>
        <v>1404248656</v>
      </c>
      <c r="D4547">
        <v>0</v>
      </c>
    </row>
    <row r="4548" spans="1:4" hidden="1" x14ac:dyDescent="0.25">
      <c r="A4548" t="s">
        <v>658</v>
      </c>
      <c r="B4548" t="s">
        <v>383</v>
      </c>
      <c r="C4548" s="2">
        <f>HYPERLINK("https://sao.dolgi.msk.ru/account/1404246909/", 1404246909)</f>
        <v>1404246909</v>
      </c>
      <c r="D4548">
        <v>-36656.370000000003</v>
      </c>
    </row>
    <row r="4549" spans="1:4" hidden="1" x14ac:dyDescent="0.25">
      <c r="A4549" t="s">
        <v>658</v>
      </c>
      <c r="B4549" t="s">
        <v>384</v>
      </c>
      <c r="C4549" s="2">
        <f>HYPERLINK("https://sao.dolgi.msk.ru/account/1404246968/", 1404246968)</f>
        <v>1404246968</v>
      </c>
      <c r="D4549">
        <v>-6153.48</v>
      </c>
    </row>
    <row r="4550" spans="1:4" x14ac:dyDescent="0.25">
      <c r="A4550" t="s">
        <v>658</v>
      </c>
      <c r="B4550" t="s">
        <v>385</v>
      </c>
      <c r="C4550" s="2">
        <f>HYPERLINK("https://sao.dolgi.msk.ru/account/1404246685/", 1404246685)</f>
        <v>1404246685</v>
      </c>
      <c r="D4550">
        <v>82676.83</v>
      </c>
    </row>
    <row r="4551" spans="1:4" hidden="1" x14ac:dyDescent="0.25">
      <c r="A4551" t="s">
        <v>658</v>
      </c>
      <c r="B4551" t="s">
        <v>386</v>
      </c>
      <c r="C4551" s="2">
        <f>HYPERLINK("https://sao.dolgi.msk.ru/account/1404248234/", 1404248234)</f>
        <v>1404248234</v>
      </c>
      <c r="D4551">
        <v>-10741</v>
      </c>
    </row>
    <row r="4552" spans="1:4" hidden="1" x14ac:dyDescent="0.25">
      <c r="A4552" t="s">
        <v>658</v>
      </c>
      <c r="B4552" t="s">
        <v>387</v>
      </c>
      <c r="C4552" s="2">
        <f>HYPERLINK("https://sao.dolgi.msk.ru/account/1404247442/", 1404247442)</f>
        <v>1404247442</v>
      </c>
      <c r="D4552">
        <v>-3289.63</v>
      </c>
    </row>
    <row r="4553" spans="1:4" hidden="1" x14ac:dyDescent="0.25">
      <c r="A4553" t="s">
        <v>658</v>
      </c>
      <c r="B4553" t="s">
        <v>388</v>
      </c>
      <c r="C4553" s="2">
        <f>HYPERLINK("https://sao.dolgi.msk.ru/account/1404247979/", 1404247979)</f>
        <v>1404247979</v>
      </c>
      <c r="D4553">
        <v>0</v>
      </c>
    </row>
    <row r="4554" spans="1:4" hidden="1" x14ac:dyDescent="0.25">
      <c r="A4554" t="s">
        <v>658</v>
      </c>
      <c r="B4554" t="s">
        <v>389</v>
      </c>
      <c r="C4554" s="2">
        <f>HYPERLINK("https://sao.dolgi.msk.ru/account/1404246116/", 1404246116)</f>
        <v>1404246116</v>
      </c>
      <c r="D4554">
        <v>-8439.4699999999993</v>
      </c>
    </row>
    <row r="4555" spans="1:4" hidden="1" x14ac:dyDescent="0.25">
      <c r="A4555" t="s">
        <v>658</v>
      </c>
      <c r="B4555" t="s">
        <v>390</v>
      </c>
      <c r="C4555" s="2">
        <f>HYPERLINK("https://sao.dolgi.msk.ru/account/1404246271/", 1404246271)</f>
        <v>1404246271</v>
      </c>
      <c r="D4555">
        <v>0</v>
      </c>
    </row>
    <row r="4556" spans="1:4" hidden="1" x14ac:dyDescent="0.25">
      <c r="A4556" t="s">
        <v>658</v>
      </c>
      <c r="B4556" t="s">
        <v>391</v>
      </c>
      <c r="C4556" s="2">
        <f>HYPERLINK("https://sao.dolgi.msk.ru/account/1404249958/", 1404249958)</f>
        <v>1404249958</v>
      </c>
      <c r="D4556">
        <v>0</v>
      </c>
    </row>
    <row r="4557" spans="1:4" hidden="1" x14ac:dyDescent="0.25">
      <c r="A4557" t="s">
        <v>658</v>
      </c>
      <c r="B4557" t="s">
        <v>392</v>
      </c>
      <c r="C4557" s="2">
        <f>HYPERLINK("https://sao.dolgi.msk.ru/account/1404246431/", 1404246431)</f>
        <v>1404246431</v>
      </c>
      <c r="D4557">
        <v>-4365.21</v>
      </c>
    </row>
    <row r="4558" spans="1:4" hidden="1" x14ac:dyDescent="0.25">
      <c r="A4558" t="s">
        <v>658</v>
      </c>
      <c r="B4558" t="s">
        <v>393</v>
      </c>
      <c r="C4558" s="2">
        <f>HYPERLINK("https://sao.dolgi.msk.ru/account/1404246343/", 1404246343)</f>
        <v>1404246343</v>
      </c>
      <c r="D4558">
        <v>-6029.69</v>
      </c>
    </row>
    <row r="4559" spans="1:4" hidden="1" x14ac:dyDescent="0.25">
      <c r="A4559" t="s">
        <v>658</v>
      </c>
      <c r="B4559" t="s">
        <v>394</v>
      </c>
      <c r="C4559" s="2">
        <f>HYPERLINK("https://sao.dolgi.msk.ru/account/1404249595/", 1404249595)</f>
        <v>1404249595</v>
      </c>
      <c r="D4559">
        <v>-138.96</v>
      </c>
    </row>
    <row r="4560" spans="1:4" hidden="1" x14ac:dyDescent="0.25">
      <c r="A4560" t="s">
        <v>658</v>
      </c>
      <c r="B4560" t="s">
        <v>395</v>
      </c>
      <c r="C4560" s="2">
        <f>HYPERLINK("https://sao.dolgi.msk.ru/account/1404249245/", 1404249245)</f>
        <v>1404249245</v>
      </c>
      <c r="D4560">
        <v>-8146.28</v>
      </c>
    </row>
    <row r="4561" spans="1:4" hidden="1" x14ac:dyDescent="0.25">
      <c r="A4561" t="s">
        <v>658</v>
      </c>
      <c r="B4561" t="s">
        <v>396</v>
      </c>
      <c r="C4561" s="2">
        <f>HYPERLINK("https://sao.dolgi.msk.ru/account/1404250043/", 1404250043)</f>
        <v>1404250043</v>
      </c>
      <c r="D4561">
        <v>-5126.3999999999996</v>
      </c>
    </row>
    <row r="4562" spans="1:4" hidden="1" x14ac:dyDescent="0.25">
      <c r="A4562" t="s">
        <v>658</v>
      </c>
      <c r="B4562" t="s">
        <v>397</v>
      </c>
      <c r="C4562" s="2">
        <f>HYPERLINK("https://sao.dolgi.msk.ru/account/1404246546/", 1404246546)</f>
        <v>1404246546</v>
      </c>
      <c r="D4562">
        <v>-9746.92</v>
      </c>
    </row>
    <row r="4563" spans="1:4" hidden="1" x14ac:dyDescent="0.25">
      <c r="A4563" t="s">
        <v>658</v>
      </c>
      <c r="B4563" t="s">
        <v>398</v>
      </c>
      <c r="C4563" s="2">
        <f>HYPERLINK("https://sao.dolgi.msk.ru/account/1404249149/", 1404249149)</f>
        <v>1404249149</v>
      </c>
      <c r="D4563">
        <v>-3552.98</v>
      </c>
    </row>
    <row r="4564" spans="1:4" x14ac:dyDescent="0.25">
      <c r="A4564" t="s">
        <v>658</v>
      </c>
      <c r="B4564" t="s">
        <v>399</v>
      </c>
      <c r="C4564" s="2">
        <f>HYPERLINK("https://sao.dolgi.msk.ru/account/1404249931/", 1404249931)</f>
        <v>1404249931</v>
      </c>
      <c r="D4564">
        <v>11779.99</v>
      </c>
    </row>
    <row r="4565" spans="1:4" x14ac:dyDescent="0.25">
      <c r="A4565" t="s">
        <v>658</v>
      </c>
      <c r="B4565" t="s">
        <v>400</v>
      </c>
      <c r="C4565" s="2">
        <f>HYPERLINK("https://sao.dolgi.msk.ru/account/1404246191/", 1404246191)</f>
        <v>1404246191</v>
      </c>
      <c r="D4565">
        <v>6720.92</v>
      </c>
    </row>
    <row r="4566" spans="1:4" hidden="1" x14ac:dyDescent="0.25">
      <c r="A4566" t="s">
        <v>658</v>
      </c>
      <c r="B4566" t="s">
        <v>401</v>
      </c>
      <c r="C4566" s="2">
        <f>HYPERLINK("https://sao.dolgi.msk.ru/account/1404250676/", 1404250676)</f>
        <v>1404250676</v>
      </c>
      <c r="D4566">
        <v>-3647.72</v>
      </c>
    </row>
    <row r="4567" spans="1:4" hidden="1" x14ac:dyDescent="0.25">
      <c r="A4567" t="s">
        <v>658</v>
      </c>
      <c r="B4567" t="s">
        <v>402</v>
      </c>
      <c r="C4567" s="2">
        <f>HYPERLINK("https://sao.dolgi.msk.ru/account/1404251388/", 1404251388)</f>
        <v>1404251388</v>
      </c>
      <c r="D4567">
        <v>0</v>
      </c>
    </row>
    <row r="4568" spans="1:4" hidden="1" x14ac:dyDescent="0.25">
      <c r="A4568" t="s">
        <v>658</v>
      </c>
      <c r="B4568" t="s">
        <v>403</v>
      </c>
      <c r="C4568" s="2">
        <f>HYPERLINK("https://sao.dolgi.msk.ru/account/1404247178/", 1404247178)</f>
        <v>1404247178</v>
      </c>
      <c r="D4568">
        <v>-4338.43</v>
      </c>
    </row>
    <row r="4569" spans="1:4" hidden="1" x14ac:dyDescent="0.25">
      <c r="A4569" t="s">
        <v>658</v>
      </c>
      <c r="B4569" t="s">
        <v>404</v>
      </c>
      <c r="C4569" s="2">
        <f>HYPERLINK("https://sao.dolgi.msk.ru/account/1404251353/", 1404251353)</f>
        <v>1404251353</v>
      </c>
      <c r="D4569">
        <v>-6339.55</v>
      </c>
    </row>
    <row r="4570" spans="1:4" x14ac:dyDescent="0.25">
      <c r="A4570" t="s">
        <v>658</v>
      </c>
      <c r="B4570" t="s">
        <v>405</v>
      </c>
      <c r="C4570" s="2">
        <f>HYPERLINK("https://sao.dolgi.msk.ru/account/1404248824/", 1404248824)</f>
        <v>1404248824</v>
      </c>
      <c r="D4570">
        <v>14898.98</v>
      </c>
    </row>
    <row r="4571" spans="1:4" hidden="1" x14ac:dyDescent="0.25">
      <c r="A4571" t="s">
        <v>658</v>
      </c>
      <c r="B4571" t="s">
        <v>406</v>
      </c>
      <c r="C4571" s="2">
        <f>HYPERLINK("https://sao.dolgi.msk.ru/account/1404251169/", 1404251169)</f>
        <v>1404251169</v>
      </c>
      <c r="D4571">
        <v>0</v>
      </c>
    </row>
    <row r="4572" spans="1:4" hidden="1" x14ac:dyDescent="0.25">
      <c r="A4572" t="s">
        <v>658</v>
      </c>
      <c r="B4572" t="s">
        <v>407</v>
      </c>
      <c r="C4572" s="2">
        <f>HYPERLINK("https://sao.dolgi.msk.ru/account/1404249632/", 1404249632)</f>
        <v>1404249632</v>
      </c>
      <c r="D4572">
        <v>-7662.28</v>
      </c>
    </row>
    <row r="4573" spans="1:4" hidden="1" x14ac:dyDescent="0.25">
      <c r="A4573" t="s">
        <v>658</v>
      </c>
      <c r="B4573" t="s">
        <v>408</v>
      </c>
      <c r="C4573" s="2">
        <f>HYPERLINK("https://sao.dolgi.msk.ru/account/1404247784/", 1404247784)</f>
        <v>1404247784</v>
      </c>
      <c r="D4573">
        <v>-6537.35</v>
      </c>
    </row>
    <row r="4574" spans="1:4" x14ac:dyDescent="0.25">
      <c r="A4574" t="s">
        <v>658</v>
      </c>
      <c r="B4574" t="s">
        <v>409</v>
      </c>
      <c r="C4574" s="2">
        <f>HYPERLINK("https://sao.dolgi.msk.ru/account/1404247637/", 1404247637)</f>
        <v>1404247637</v>
      </c>
      <c r="D4574">
        <v>12640</v>
      </c>
    </row>
    <row r="4575" spans="1:4" hidden="1" x14ac:dyDescent="0.25">
      <c r="A4575" t="s">
        <v>658</v>
      </c>
      <c r="B4575" t="s">
        <v>410</v>
      </c>
      <c r="C4575" s="2">
        <f>HYPERLINK("https://sao.dolgi.msk.ru/account/1404250182/", 1404250182)</f>
        <v>1404250182</v>
      </c>
      <c r="D4575">
        <v>-5817.41</v>
      </c>
    </row>
    <row r="4576" spans="1:4" hidden="1" x14ac:dyDescent="0.25">
      <c r="A4576" t="s">
        <v>658</v>
      </c>
      <c r="B4576" t="s">
        <v>411</v>
      </c>
      <c r="C4576" s="2">
        <f>HYPERLINK("https://sao.dolgi.msk.ru/account/1404246255/", 1404246255)</f>
        <v>1404246255</v>
      </c>
      <c r="D4576">
        <v>-4989.58</v>
      </c>
    </row>
    <row r="4577" spans="1:4" hidden="1" x14ac:dyDescent="0.25">
      <c r="A4577" t="s">
        <v>658</v>
      </c>
      <c r="B4577" t="s">
        <v>429</v>
      </c>
      <c r="C4577" s="2">
        <f>HYPERLINK("https://sao.dolgi.msk.ru/account/1404250908/", 1404250908)</f>
        <v>1404250908</v>
      </c>
      <c r="D4577">
        <v>-3299.74</v>
      </c>
    </row>
    <row r="4578" spans="1:4" x14ac:dyDescent="0.25">
      <c r="A4578" t="s">
        <v>658</v>
      </c>
      <c r="B4578" t="s">
        <v>430</v>
      </c>
      <c r="C4578" s="2">
        <f>HYPERLINK("https://sao.dolgi.msk.ru/account/1404248592/", 1404248592)</f>
        <v>1404248592</v>
      </c>
      <c r="D4578">
        <v>6884.35</v>
      </c>
    </row>
    <row r="4579" spans="1:4" hidden="1" x14ac:dyDescent="0.25">
      <c r="A4579" t="s">
        <v>658</v>
      </c>
      <c r="B4579" t="s">
        <v>431</v>
      </c>
      <c r="C4579" s="2">
        <f>HYPERLINK("https://sao.dolgi.msk.ru/account/1404250625/", 1404250625)</f>
        <v>1404250625</v>
      </c>
      <c r="D4579">
        <v>0</v>
      </c>
    </row>
    <row r="4580" spans="1:4" hidden="1" x14ac:dyDescent="0.25">
      <c r="A4580" t="s">
        <v>658</v>
      </c>
      <c r="B4580" t="s">
        <v>432</v>
      </c>
      <c r="C4580" s="2">
        <f>HYPERLINK("https://sao.dolgi.msk.ru/account/1404250529/", 1404250529)</f>
        <v>1404250529</v>
      </c>
      <c r="D4580">
        <v>0</v>
      </c>
    </row>
    <row r="4581" spans="1:4" hidden="1" x14ac:dyDescent="0.25">
      <c r="A4581" t="s">
        <v>658</v>
      </c>
      <c r="B4581" t="s">
        <v>433</v>
      </c>
      <c r="C4581" s="2">
        <f>HYPERLINK("https://sao.dolgi.msk.ru/account/1404251329/", 1404251329)</f>
        <v>1404251329</v>
      </c>
      <c r="D4581">
        <v>-6696.02</v>
      </c>
    </row>
    <row r="4582" spans="1:4" hidden="1" x14ac:dyDescent="0.25">
      <c r="A4582" t="s">
        <v>658</v>
      </c>
      <c r="B4582" t="s">
        <v>434</v>
      </c>
      <c r="C4582" s="2">
        <f>HYPERLINK("https://sao.dolgi.msk.ru/account/1404250975/", 1404250975)</f>
        <v>1404250975</v>
      </c>
      <c r="D4582">
        <v>-1882.12</v>
      </c>
    </row>
    <row r="4583" spans="1:4" x14ac:dyDescent="0.25">
      <c r="A4583" t="s">
        <v>658</v>
      </c>
      <c r="B4583" t="s">
        <v>435</v>
      </c>
      <c r="C4583" s="2">
        <f>HYPERLINK("https://sao.dolgi.msk.ru/account/1404246175/", 1404246175)</f>
        <v>1404246175</v>
      </c>
      <c r="D4583">
        <v>1797.11</v>
      </c>
    </row>
    <row r="4584" spans="1:4" hidden="1" x14ac:dyDescent="0.25">
      <c r="A4584" t="s">
        <v>658</v>
      </c>
      <c r="B4584" t="s">
        <v>436</v>
      </c>
      <c r="C4584" s="2">
        <f>HYPERLINK("https://sao.dolgi.msk.ru/account/1404249448/", 1404249448)</f>
        <v>1404249448</v>
      </c>
      <c r="D4584">
        <v>-7030.63</v>
      </c>
    </row>
    <row r="4585" spans="1:4" hidden="1" x14ac:dyDescent="0.25">
      <c r="A4585" t="s">
        <v>658</v>
      </c>
      <c r="B4585" t="s">
        <v>437</v>
      </c>
      <c r="C4585" s="2">
        <f>HYPERLINK("https://sao.dolgi.msk.ru/account/1404250684/", 1404250684)</f>
        <v>1404250684</v>
      </c>
      <c r="D4585">
        <v>-6807.32</v>
      </c>
    </row>
    <row r="4586" spans="1:4" hidden="1" x14ac:dyDescent="0.25">
      <c r="A4586" t="s">
        <v>658</v>
      </c>
      <c r="B4586" t="s">
        <v>438</v>
      </c>
      <c r="C4586" s="2">
        <f>HYPERLINK("https://sao.dolgi.msk.ru/account/1404251492/", 1404251492)</f>
        <v>1404251492</v>
      </c>
      <c r="D4586">
        <v>-9011.2999999999993</v>
      </c>
    </row>
    <row r="4587" spans="1:4" hidden="1" x14ac:dyDescent="0.25">
      <c r="A4587" t="s">
        <v>658</v>
      </c>
      <c r="B4587" t="s">
        <v>439</v>
      </c>
      <c r="C4587" s="2">
        <f>HYPERLINK("https://sao.dolgi.msk.ru/account/1404246167/", 1404246167)</f>
        <v>1404246167</v>
      </c>
      <c r="D4587">
        <v>-7400.8</v>
      </c>
    </row>
    <row r="4588" spans="1:4" hidden="1" x14ac:dyDescent="0.25">
      <c r="A4588" t="s">
        <v>658</v>
      </c>
      <c r="B4588" t="s">
        <v>440</v>
      </c>
      <c r="C4588" s="2">
        <f>HYPERLINK("https://sao.dolgi.msk.ru/account/1404248947/", 1404248947)</f>
        <v>1404248947</v>
      </c>
      <c r="D4588">
        <v>-7365.88</v>
      </c>
    </row>
    <row r="4589" spans="1:4" hidden="1" x14ac:dyDescent="0.25">
      <c r="A4589" t="s">
        <v>658</v>
      </c>
      <c r="B4589" t="s">
        <v>441</v>
      </c>
      <c r="C4589" s="2">
        <f>HYPERLINK("https://sao.dolgi.msk.ru/account/1404251177/", 1404251177)</f>
        <v>1404251177</v>
      </c>
      <c r="D4589">
        <v>0</v>
      </c>
    </row>
    <row r="4590" spans="1:4" x14ac:dyDescent="0.25">
      <c r="A4590" t="s">
        <v>658</v>
      </c>
      <c r="B4590" t="s">
        <v>442</v>
      </c>
      <c r="C4590" s="2">
        <f>HYPERLINK("https://sao.dolgi.msk.ru/account/1404246749/", 1404246749)</f>
        <v>1404246749</v>
      </c>
      <c r="D4590">
        <v>10741.42</v>
      </c>
    </row>
    <row r="4591" spans="1:4" hidden="1" x14ac:dyDescent="0.25">
      <c r="A4591" t="s">
        <v>658</v>
      </c>
      <c r="B4591" t="s">
        <v>443</v>
      </c>
      <c r="C4591" s="2">
        <f>HYPERLINK("https://sao.dolgi.msk.ru/account/1404247987/", 1404247987)</f>
        <v>1404247987</v>
      </c>
      <c r="D4591">
        <v>-8410.2000000000007</v>
      </c>
    </row>
    <row r="4592" spans="1:4" hidden="1" x14ac:dyDescent="0.25">
      <c r="A4592" t="s">
        <v>658</v>
      </c>
      <c r="B4592" t="s">
        <v>444</v>
      </c>
      <c r="C4592" s="2">
        <f>HYPERLINK("https://sao.dolgi.msk.ru/account/1404246554/", 1404246554)</f>
        <v>1404246554</v>
      </c>
      <c r="D4592">
        <v>-6761.07</v>
      </c>
    </row>
    <row r="4593" spans="1:4" hidden="1" x14ac:dyDescent="0.25">
      <c r="A4593" t="s">
        <v>658</v>
      </c>
      <c r="B4593" t="s">
        <v>445</v>
      </c>
      <c r="C4593" s="2">
        <f>HYPERLINK("https://sao.dolgi.msk.ru/account/1404248744/", 1404248744)</f>
        <v>1404248744</v>
      </c>
      <c r="D4593">
        <v>0</v>
      </c>
    </row>
    <row r="4594" spans="1:4" x14ac:dyDescent="0.25">
      <c r="A4594" t="s">
        <v>658</v>
      </c>
      <c r="B4594" t="s">
        <v>446</v>
      </c>
      <c r="C4594" s="2">
        <f>HYPERLINK("https://sao.dolgi.msk.ru/account/1404246992/", 1404246992)</f>
        <v>1404246992</v>
      </c>
      <c r="D4594">
        <v>13302.12</v>
      </c>
    </row>
    <row r="4595" spans="1:4" hidden="1" x14ac:dyDescent="0.25">
      <c r="A4595" t="s">
        <v>658</v>
      </c>
      <c r="B4595" t="s">
        <v>446</v>
      </c>
      <c r="C4595" s="2">
        <f>HYPERLINK("https://sao.dolgi.msk.ru/account/1404247995/", 1404247995)</f>
        <v>1404247995</v>
      </c>
      <c r="D4595">
        <v>0</v>
      </c>
    </row>
    <row r="4596" spans="1:4" hidden="1" x14ac:dyDescent="0.25">
      <c r="A4596" t="s">
        <v>658</v>
      </c>
      <c r="B4596" t="s">
        <v>447</v>
      </c>
      <c r="C4596" s="2">
        <f>HYPERLINK("https://sao.dolgi.msk.ru/account/1404249704/", 1404249704)</f>
        <v>1404249704</v>
      </c>
      <c r="D4596">
        <v>0</v>
      </c>
    </row>
    <row r="4597" spans="1:4" hidden="1" x14ac:dyDescent="0.25">
      <c r="A4597" t="s">
        <v>658</v>
      </c>
      <c r="B4597" t="s">
        <v>448</v>
      </c>
      <c r="C4597" s="2">
        <f>HYPERLINK("https://sao.dolgi.msk.ru/account/1404247688/", 1404247688)</f>
        <v>1404247688</v>
      </c>
      <c r="D4597">
        <v>-5042.74</v>
      </c>
    </row>
    <row r="4598" spans="1:4" hidden="1" x14ac:dyDescent="0.25">
      <c r="A4598" t="s">
        <v>658</v>
      </c>
      <c r="B4598" t="s">
        <v>449</v>
      </c>
      <c r="C4598" s="2">
        <f>HYPERLINK("https://sao.dolgi.msk.ru/account/1404246765/", 1404246765)</f>
        <v>1404246765</v>
      </c>
      <c r="D4598">
        <v>-5091.82</v>
      </c>
    </row>
    <row r="4599" spans="1:4" hidden="1" x14ac:dyDescent="0.25">
      <c r="A4599" t="s">
        <v>658</v>
      </c>
      <c r="B4599" t="s">
        <v>449</v>
      </c>
      <c r="C4599" s="2">
        <f>HYPERLINK("https://sao.dolgi.msk.ru/account/1404248103/", 1404248103)</f>
        <v>1404248103</v>
      </c>
      <c r="D4599">
        <v>-4037.31</v>
      </c>
    </row>
    <row r="4600" spans="1:4" hidden="1" x14ac:dyDescent="0.25">
      <c r="A4600" t="s">
        <v>658</v>
      </c>
      <c r="B4600" t="s">
        <v>450</v>
      </c>
      <c r="C4600" s="2">
        <f>HYPERLINK("https://sao.dolgi.msk.ru/account/1404248613/", 1404248613)</f>
        <v>1404248613</v>
      </c>
      <c r="D4600">
        <v>-7122.42</v>
      </c>
    </row>
    <row r="4601" spans="1:4" x14ac:dyDescent="0.25">
      <c r="A4601" t="s">
        <v>658</v>
      </c>
      <c r="B4601" t="s">
        <v>451</v>
      </c>
      <c r="C4601" s="2">
        <f>HYPERLINK("https://sao.dolgi.msk.ru/account/1404247653/", 1404247653)</f>
        <v>1404247653</v>
      </c>
      <c r="D4601">
        <v>10772.38</v>
      </c>
    </row>
    <row r="4602" spans="1:4" hidden="1" x14ac:dyDescent="0.25">
      <c r="A4602" t="s">
        <v>658</v>
      </c>
      <c r="B4602" t="s">
        <v>452</v>
      </c>
      <c r="C4602" s="2">
        <f>HYPERLINK("https://sao.dolgi.msk.ru/account/1404246773/", 1404246773)</f>
        <v>1404246773</v>
      </c>
      <c r="D4602">
        <v>-4858.49</v>
      </c>
    </row>
    <row r="4603" spans="1:4" x14ac:dyDescent="0.25">
      <c r="A4603" t="s">
        <v>658</v>
      </c>
      <c r="B4603" t="s">
        <v>453</v>
      </c>
      <c r="C4603" s="2">
        <f>HYPERLINK("https://sao.dolgi.msk.ru/account/1404250254/", 1404250254)</f>
        <v>1404250254</v>
      </c>
      <c r="D4603">
        <v>3527.89</v>
      </c>
    </row>
    <row r="4604" spans="1:4" hidden="1" x14ac:dyDescent="0.25">
      <c r="A4604" t="s">
        <v>658</v>
      </c>
      <c r="B4604" t="s">
        <v>454</v>
      </c>
      <c r="C4604" s="2">
        <f>HYPERLINK("https://sao.dolgi.msk.ru/account/1404248031/", 1404248031)</f>
        <v>1404248031</v>
      </c>
      <c r="D4604">
        <v>0</v>
      </c>
    </row>
    <row r="4605" spans="1:4" hidden="1" x14ac:dyDescent="0.25">
      <c r="A4605" t="s">
        <v>658</v>
      </c>
      <c r="B4605" t="s">
        <v>455</v>
      </c>
      <c r="C4605" s="2">
        <f>HYPERLINK("https://sao.dolgi.msk.ru/account/1404247856/", 1404247856)</f>
        <v>1404247856</v>
      </c>
      <c r="D4605">
        <v>-7628.35</v>
      </c>
    </row>
    <row r="4606" spans="1:4" hidden="1" x14ac:dyDescent="0.25">
      <c r="A4606" t="s">
        <v>658</v>
      </c>
      <c r="B4606" t="s">
        <v>456</v>
      </c>
      <c r="C4606" s="2">
        <f>HYPERLINK("https://sao.dolgi.msk.ru/account/1404249309/", 1404249309)</f>
        <v>1404249309</v>
      </c>
      <c r="D4606">
        <v>0</v>
      </c>
    </row>
    <row r="4607" spans="1:4" x14ac:dyDescent="0.25">
      <c r="A4607" t="s">
        <v>658</v>
      </c>
      <c r="B4607" t="s">
        <v>457</v>
      </c>
      <c r="C4607" s="2">
        <f>HYPERLINK("https://sao.dolgi.msk.ru/account/1404247127/", 1404247127)</f>
        <v>1404247127</v>
      </c>
      <c r="D4607">
        <v>4634.91</v>
      </c>
    </row>
    <row r="4608" spans="1:4" hidden="1" x14ac:dyDescent="0.25">
      <c r="A4608" t="s">
        <v>658</v>
      </c>
      <c r="B4608" t="s">
        <v>458</v>
      </c>
      <c r="C4608" s="2">
        <f>HYPERLINK("https://sao.dolgi.msk.ru/account/1404248779/", 1404248779)</f>
        <v>1404248779</v>
      </c>
      <c r="D4608">
        <v>0</v>
      </c>
    </row>
    <row r="4609" spans="1:4" hidden="1" x14ac:dyDescent="0.25">
      <c r="A4609" t="s">
        <v>658</v>
      </c>
      <c r="B4609" t="s">
        <v>459</v>
      </c>
      <c r="C4609" s="2">
        <f>HYPERLINK("https://sao.dolgi.msk.ru/account/1404247215/", 1404247215)</f>
        <v>1404247215</v>
      </c>
      <c r="D4609">
        <v>-11777.44</v>
      </c>
    </row>
    <row r="4610" spans="1:4" hidden="1" x14ac:dyDescent="0.25">
      <c r="A4610" t="s">
        <v>658</v>
      </c>
      <c r="B4610" t="s">
        <v>460</v>
      </c>
      <c r="C4610" s="2">
        <f>HYPERLINK("https://sao.dolgi.msk.ru/account/1404246044/", 1404246044)</f>
        <v>1404246044</v>
      </c>
      <c r="D4610">
        <v>-7783.33</v>
      </c>
    </row>
    <row r="4611" spans="1:4" hidden="1" x14ac:dyDescent="0.25">
      <c r="A4611" t="s">
        <v>658</v>
      </c>
      <c r="B4611" t="s">
        <v>461</v>
      </c>
      <c r="C4611" s="2">
        <f>HYPERLINK("https://sao.dolgi.msk.ru/account/1404248605/", 1404248605)</f>
        <v>1404248605</v>
      </c>
      <c r="D4611">
        <v>-2164.86</v>
      </c>
    </row>
    <row r="4612" spans="1:4" hidden="1" x14ac:dyDescent="0.25">
      <c r="A4612" t="s">
        <v>658</v>
      </c>
      <c r="B4612" t="s">
        <v>462</v>
      </c>
      <c r="C4612" s="2">
        <f>HYPERLINK("https://sao.dolgi.msk.ru/account/1404250764/", 1404250764)</f>
        <v>1404250764</v>
      </c>
      <c r="D4612">
        <v>0</v>
      </c>
    </row>
    <row r="4613" spans="1:4" x14ac:dyDescent="0.25">
      <c r="A4613" t="s">
        <v>658</v>
      </c>
      <c r="B4613" t="s">
        <v>463</v>
      </c>
      <c r="C4613" s="2">
        <f>HYPERLINK("https://sao.dolgi.msk.ru/account/1404248373/", 1404248373)</f>
        <v>1404248373</v>
      </c>
      <c r="D4613">
        <v>12208.39</v>
      </c>
    </row>
    <row r="4614" spans="1:4" hidden="1" x14ac:dyDescent="0.25">
      <c r="A4614" t="s">
        <v>658</v>
      </c>
      <c r="B4614" t="s">
        <v>464</v>
      </c>
      <c r="C4614" s="2">
        <f>HYPERLINK("https://sao.dolgi.msk.ru/account/1404247645/", 1404247645)</f>
        <v>1404247645</v>
      </c>
      <c r="D4614">
        <v>-6241.29</v>
      </c>
    </row>
    <row r="4615" spans="1:4" x14ac:dyDescent="0.25">
      <c r="A4615" t="s">
        <v>658</v>
      </c>
      <c r="B4615" t="s">
        <v>465</v>
      </c>
      <c r="C4615" s="2">
        <f>HYPERLINK("https://sao.dolgi.msk.ru/account/1404251062/", 1404251062)</f>
        <v>1404251062</v>
      </c>
      <c r="D4615">
        <v>11213.86</v>
      </c>
    </row>
    <row r="4616" spans="1:4" hidden="1" x14ac:dyDescent="0.25">
      <c r="A4616" t="s">
        <v>658</v>
      </c>
      <c r="B4616" t="s">
        <v>466</v>
      </c>
      <c r="C4616" s="2">
        <f>HYPERLINK("https://sao.dolgi.msk.ru/account/1404250959/", 1404250959)</f>
        <v>1404250959</v>
      </c>
      <c r="D4616">
        <v>-8489.8799999999992</v>
      </c>
    </row>
    <row r="4617" spans="1:4" hidden="1" x14ac:dyDescent="0.25">
      <c r="A4617" t="s">
        <v>658</v>
      </c>
      <c r="B4617" t="s">
        <v>467</v>
      </c>
      <c r="C4617" s="2">
        <f>HYPERLINK("https://sao.dolgi.msk.ru/account/1404249616/", 1404249616)</f>
        <v>1404249616</v>
      </c>
      <c r="D4617">
        <v>-9214.5400000000009</v>
      </c>
    </row>
    <row r="4618" spans="1:4" hidden="1" x14ac:dyDescent="0.25">
      <c r="A4618" t="s">
        <v>658</v>
      </c>
      <c r="B4618" t="s">
        <v>468</v>
      </c>
      <c r="C4618" s="2">
        <f>HYPERLINK("https://sao.dolgi.msk.ru/account/1404247151/", 1404247151)</f>
        <v>1404247151</v>
      </c>
      <c r="D4618">
        <v>-7489.41</v>
      </c>
    </row>
    <row r="4619" spans="1:4" hidden="1" x14ac:dyDescent="0.25">
      <c r="A4619" t="s">
        <v>658</v>
      </c>
      <c r="B4619" t="s">
        <v>469</v>
      </c>
      <c r="C4619" s="2">
        <f>HYPERLINK("https://sao.dolgi.msk.ru/account/1404246351/", 1404246351)</f>
        <v>1404246351</v>
      </c>
      <c r="D4619">
        <v>-7005.7</v>
      </c>
    </row>
    <row r="4620" spans="1:4" hidden="1" x14ac:dyDescent="0.25">
      <c r="A4620" t="s">
        <v>658</v>
      </c>
      <c r="B4620" t="s">
        <v>470</v>
      </c>
      <c r="C4620" s="2">
        <f>HYPERLINK("https://sao.dolgi.msk.ru/account/1404249691/", 1404249691)</f>
        <v>1404249691</v>
      </c>
      <c r="D4620">
        <v>-9286.83</v>
      </c>
    </row>
    <row r="4621" spans="1:4" hidden="1" x14ac:dyDescent="0.25">
      <c r="A4621" t="s">
        <v>658</v>
      </c>
      <c r="B4621" t="s">
        <v>471</v>
      </c>
      <c r="C4621" s="2">
        <f>HYPERLINK("https://sao.dolgi.msk.ru/account/1404251572/", 1404251572)</f>
        <v>1404251572</v>
      </c>
      <c r="D4621">
        <v>-9277.11</v>
      </c>
    </row>
    <row r="4622" spans="1:4" x14ac:dyDescent="0.25">
      <c r="A4622" t="s">
        <v>658</v>
      </c>
      <c r="B4622" t="s">
        <v>472</v>
      </c>
      <c r="C4622" s="2">
        <f>HYPERLINK("https://sao.dolgi.msk.ru/account/1404248066/", 1404248066)</f>
        <v>1404248066</v>
      </c>
      <c r="D4622">
        <v>13408.37</v>
      </c>
    </row>
    <row r="4623" spans="1:4" x14ac:dyDescent="0.25">
      <c r="A4623" t="s">
        <v>658</v>
      </c>
      <c r="B4623" t="s">
        <v>473</v>
      </c>
      <c r="C4623" s="2">
        <f>HYPERLINK("https://sao.dolgi.msk.ru/account/1404247434/", 1404247434)</f>
        <v>1404247434</v>
      </c>
      <c r="D4623">
        <v>8736.5499999999993</v>
      </c>
    </row>
    <row r="4624" spans="1:4" hidden="1" x14ac:dyDescent="0.25">
      <c r="A4624" t="s">
        <v>658</v>
      </c>
      <c r="B4624" t="s">
        <v>474</v>
      </c>
      <c r="C4624" s="2">
        <f>HYPERLINK("https://sao.dolgi.msk.ru/account/1404249413/", 1404249413)</f>
        <v>1404249413</v>
      </c>
      <c r="D4624">
        <v>-8703.64</v>
      </c>
    </row>
    <row r="4625" spans="1:4" x14ac:dyDescent="0.25">
      <c r="A4625" t="s">
        <v>660</v>
      </c>
      <c r="B4625" t="s">
        <v>5</v>
      </c>
      <c r="C4625" s="2">
        <f>HYPERLINK("https://sao.dolgi.msk.ru/account/1404252508/", 1404252508)</f>
        <v>1404252508</v>
      </c>
      <c r="D4625">
        <v>655.25</v>
      </c>
    </row>
    <row r="4626" spans="1:4" hidden="1" x14ac:dyDescent="0.25">
      <c r="A4626" t="s">
        <v>660</v>
      </c>
      <c r="B4626" t="s">
        <v>6</v>
      </c>
      <c r="C4626" s="2">
        <f>HYPERLINK("https://sao.dolgi.msk.ru/account/1404253893/", 1404253893)</f>
        <v>1404253893</v>
      </c>
      <c r="D4626">
        <v>0</v>
      </c>
    </row>
    <row r="4627" spans="1:4" hidden="1" x14ac:dyDescent="0.25">
      <c r="A4627" t="s">
        <v>660</v>
      </c>
      <c r="B4627" t="s">
        <v>7</v>
      </c>
      <c r="C4627" s="2">
        <f>HYPERLINK("https://sao.dolgi.msk.ru/account/1404252823/", 1404252823)</f>
        <v>1404252823</v>
      </c>
      <c r="D4627">
        <v>0</v>
      </c>
    </row>
    <row r="4628" spans="1:4" x14ac:dyDescent="0.25">
      <c r="A4628" t="s">
        <v>660</v>
      </c>
      <c r="B4628" t="s">
        <v>8</v>
      </c>
      <c r="C4628" s="2">
        <f>HYPERLINK("https://sao.dolgi.msk.ru/account/1404252241/", 1404252241)</f>
        <v>1404252241</v>
      </c>
      <c r="D4628">
        <v>14811</v>
      </c>
    </row>
    <row r="4629" spans="1:4" hidden="1" x14ac:dyDescent="0.25">
      <c r="A4629" t="s">
        <v>660</v>
      </c>
      <c r="B4629" t="s">
        <v>9</v>
      </c>
      <c r="C4629" s="2">
        <f>HYPERLINK("https://sao.dolgi.msk.ru/account/1404252006/", 1404252006)</f>
        <v>1404252006</v>
      </c>
      <c r="D4629">
        <v>-4302.8999999999996</v>
      </c>
    </row>
    <row r="4630" spans="1:4" hidden="1" x14ac:dyDescent="0.25">
      <c r="A4630" t="s">
        <v>660</v>
      </c>
      <c r="B4630" t="s">
        <v>10</v>
      </c>
      <c r="C4630" s="2">
        <f>HYPERLINK("https://sao.dolgi.msk.ru/account/1404253084/", 1404253084)</f>
        <v>1404253084</v>
      </c>
      <c r="D4630">
        <v>0</v>
      </c>
    </row>
    <row r="4631" spans="1:4" hidden="1" x14ac:dyDescent="0.25">
      <c r="A4631" t="s">
        <v>660</v>
      </c>
      <c r="B4631" t="s">
        <v>11</v>
      </c>
      <c r="C4631" s="2">
        <f>HYPERLINK("https://sao.dolgi.msk.ru/account/1404251716/", 1404251716)</f>
        <v>1404251716</v>
      </c>
      <c r="D4631">
        <v>0</v>
      </c>
    </row>
    <row r="4632" spans="1:4" hidden="1" x14ac:dyDescent="0.25">
      <c r="A4632" t="s">
        <v>660</v>
      </c>
      <c r="B4632" t="s">
        <v>12</v>
      </c>
      <c r="C4632" s="2">
        <f>HYPERLINK("https://sao.dolgi.msk.ru/account/1404254132/", 1404254132)</f>
        <v>1404254132</v>
      </c>
      <c r="D4632">
        <v>-6821.21</v>
      </c>
    </row>
    <row r="4633" spans="1:4" hidden="1" x14ac:dyDescent="0.25">
      <c r="A4633" t="s">
        <v>660</v>
      </c>
      <c r="B4633" t="s">
        <v>13</v>
      </c>
      <c r="C4633" s="2">
        <f>HYPERLINK("https://sao.dolgi.msk.ru/account/1404252938/", 1404252938)</f>
        <v>1404252938</v>
      </c>
      <c r="D4633">
        <v>0</v>
      </c>
    </row>
    <row r="4634" spans="1:4" hidden="1" x14ac:dyDescent="0.25">
      <c r="A4634" t="s">
        <v>660</v>
      </c>
      <c r="B4634" t="s">
        <v>14</v>
      </c>
      <c r="C4634" s="2">
        <f>HYPERLINK("https://sao.dolgi.msk.ru/account/1404251652/", 1404251652)</f>
        <v>1404251652</v>
      </c>
      <c r="D4634">
        <v>-4121.34</v>
      </c>
    </row>
    <row r="4635" spans="1:4" hidden="1" x14ac:dyDescent="0.25">
      <c r="A4635" t="s">
        <v>660</v>
      </c>
      <c r="B4635" t="s">
        <v>15</v>
      </c>
      <c r="C4635" s="2">
        <f>HYPERLINK("https://sao.dolgi.msk.ru/account/1404253754/", 1404253754)</f>
        <v>1404253754</v>
      </c>
      <c r="D4635">
        <v>-7160.38</v>
      </c>
    </row>
    <row r="4636" spans="1:4" x14ac:dyDescent="0.25">
      <c r="A4636" t="s">
        <v>660</v>
      </c>
      <c r="B4636" t="s">
        <v>16</v>
      </c>
      <c r="C4636" s="2">
        <f>HYPERLINK("https://sao.dolgi.msk.ru/account/1404252866/", 1404252866)</f>
        <v>1404252866</v>
      </c>
      <c r="D4636">
        <v>17457.36</v>
      </c>
    </row>
    <row r="4637" spans="1:4" x14ac:dyDescent="0.25">
      <c r="A4637" t="s">
        <v>660</v>
      </c>
      <c r="B4637" t="s">
        <v>16</v>
      </c>
      <c r="C4637" s="2">
        <f>HYPERLINK("https://sao.dolgi.msk.ru/account/1404253826/", 1404253826)</f>
        <v>1404253826</v>
      </c>
      <c r="D4637">
        <v>9971.24</v>
      </c>
    </row>
    <row r="4638" spans="1:4" hidden="1" x14ac:dyDescent="0.25">
      <c r="A4638" t="s">
        <v>660</v>
      </c>
      <c r="B4638" t="s">
        <v>17</v>
      </c>
      <c r="C4638" s="2">
        <f>HYPERLINK("https://sao.dolgi.msk.ru/account/1404251855/", 1404251855)</f>
        <v>1404251855</v>
      </c>
      <c r="D4638">
        <v>-2786.94</v>
      </c>
    </row>
    <row r="4639" spans="1:4" x14ac:dyDescent="0.25">
      <c r="A4639" t="s">
        <v>660</v>
      </c>
      <c r="B4639" t="s">
        <v>18</v>
      </c>
      <c r="C4639" s="2">
        <f>HYPERLINK("https://sao.dolgi.msk.ru/account/1404253367/", 1404253367)</f>
        <v>1404253367</v>
      </c>
      <c r="D4639">
        <v>19656.599999999999</v>
      </c>
    </row>
    <row r="4640" spans="1:4" hidden="1" x14ac:dyDescent="0.25">
      <c r="A4640" t="s">
        <v>660</v>
      </c>
      <c r="B4640" t="s">
        <v>19</v>
      </c>
      <c r="C4640" s="2">
        <f>HYPERLINK("https://sao.dolgi.msk.ru/account/1404252081/", 1404252081)</f>
        <v>1404252081</v>
      </c>
      <c r="D4640">
        <v>-237.22</v>
      </c>
    </row>
    <row r="4641" spans="1:4" hidden="1" x14ac:dyDescent="0.25">
      <c r="A4641" t="s">
        <v>660</v>
      </c>
      <c r="B4641" t="s">
        <v>20</v>
      </c>
      <c r="C4641" s="2">
        <f>HYPERLINK("https://sao.dolgi.msk.ru/account/1404253631/", 1404253631)</f>
        <v>1404253631</v>
      </c>
      <c r="D4641">
        <v>-5136.67</v>
      </c>
    </row>
    <row r="4642" spans="1:4" hidden="1" x14ac:dyDescent="0.25">
      <c r="A4642" t="s">
        <v>660</v>
      </c>
      <c r="B4642" t="s">
        <v>21</v>
      </c>
      <c r="C4642" s="2">
        <f>HYPERLINK("https://sao.dolgi.msk.ru/account/1404252129/", 1404252129)</f>
        <v>1404252129</v>
      </c>
      <c r="D4642">
        <v>-3721.46</v>
      </c>
    </row>
    <row r="4643" spans="1:4" hidden="1" x14ac:dyDescent="0.25">
      <c r="A4643" t="s">
        <v>660</v>
      </c>
      <c r="B4643" t="s">
        <v>22</v>
      </c>
      <c r="C4643" s="2">
        <f>HYPERLINK("https://sao.dolgi.msk.ru/account/1404253252/", 1404253252)</f>
        <v>1404253252</v>
      </c>
      <c r="D4643">
        <v>0</v>
      </c>
    </row>
    <row r="4644" spans="1:4" x14ac:dyDescent="0.25">
      <c r="A4644" t="s">
        <v>660</v>
      </c>
      <c r="B4644" t="s">
        <v>23</v>
      </c>
      <c r="C4644" s="2">
        <f>HYPERLINK("https://sao.dolgi.msk.ru/account/1404252348/", 1404252348)</f>
        <v>1404252348</v>
      </c>
      <c r="D4644">
        <v>22085.73</v>
      </c>
    </row>
    <row r="4645" spans="1:4" x14ac:dyDescent="0.25">
      <c r="A4645" t="s">
        <v>660</v>
      </c>
      <c r="B4645" t="s">
        <v>24</v>
      </c>
      <c r="C4645" s="2">
        <f>HYPERLINK("https://sao.dolgi.msk.ru/account/1404253551/", 1404253551)</f>
        <v>1404253551</v>
      </c>
      <c r="D4645">
        <v>35182.76</v>
      </c>
    </row>
    <row r="4646" spans="1:4" hidden="1" x14ac:dyDescent="0.25">
      <c r="A4646" t="s">
        <v>660</v>
      </c>
      <c r="B4646" t="s">
        <v>25</v>
      </c>
      <c r="C4646" s="2">
        <f>HYPERLINK("https://sao.dolgi.msk.ru/account/1404253842/", 1404253842)</f>
        <v>1404253842</v>
      </c>
      <c r="D4646">
        <v>-6872.69</v>
      </c>
    </row>
    <row r="4647" spans="1:4" hidden="1" x14ac:dyDescent="0.25">
      <c r="A4647" t="s">
        <v>660</v>
      </c>
      <c r="B4647" t="s">
        <v>26</v>
      </c>
      <c r="C4647" s="2">
        <f>HYPERLINK("https://sao.dolgi.msk.ru/account/1404252049/", 1404252049)</f>
        <v>1404252049</v>
      </c>
      <c r="D4647">
        <v>-7543.72</v>
      </c>
    </row>
    <row r="4648" spans="1:4" hidden="1" x14ac:dyDescent="0.25">
      <c r="A4648" t="s">
        <v>660</v>
      </c>
      <c r="B4648" t="s">
        <v>27</v>
      </c>
      <c r="C4648" s="2">
        <f>HYPERLINK("https://sao.dolgi.msk.ru/account/1404253105/", 1404253105)</f>
        <v>1404253105</v>
      </c>
      <c r="D4648">
        <v>-5849.72</v>
      </c>
    </row>
    <row r="4649" spans="1:4" hidden="1" x14ac:dyDescent="0.25">
      <c r="A4649" t="s">
        <v>660</v>
      </c>
      <c r="B4649" t="s">
        <v>28</v>
      </c>
      <c r="C4649" s="2">
        <f>HYPERLINK("https://sao.dolgi.msk.ru/account/1404252401/", 1404252401)</f>
        <v>1404252401</v>
      </c>
      <c r="D4649">
        <v>-4598.04</v>
      </c>
    </row>
    <row r="4650" spans="1:4" x14ac:dyDescent="0.25">
      <c r="A4650" t="s">
        <v>660</v>
      </c>
      <c r="B4650" t="s">
        <v>29</v>
      </c>
      <c r="C4650" s="2">
        <f>HYPERLINK("https://sao.dolgi.msk.ru/account/1404253674/", 1404253674)</f>
        <v>1404253674</v>
      </c>
      <c r="D4650">
        <v>3850.98</v>
      </c>
    </row>
    <row r="4651" spans="1:4" hidden="1" x14ac:dyDescent="0.25">
      <c r="A4651" t="s">
        <v>660</v>
      </c>
      <c r="B4651" t="s">
        <v>30</v>
      </c>
      <c r="C4651" s="2">
        <f>HYPERLINK("https://sao.dolgi.msk.ru/account/1404252428/", 1404252428)</f>
        <v>1404252428</v>
      </c>
      <c r="D4651">
        <v>-19.239999999999998</v>
      </c>
    </row>
    <row r="4652" spans="1:4" x14ac:dyDescent="0.25">
      <c r="A4652" t="s">
        <v>660</v>
      </c>
      <c r="B4652" t="s">
        <v>31</v>
      </c>
      <c r="C4652" s="2">
        <f>HYPERLINK("https://sao.dolgi.msk.ru/account/1404252815/", 1404252815)</f>
        <v>1404252815</v>
      </c>
      <c r="D4652">
        <v>12841.14</v>
      </c>
    </row>
    <row r="4653" spans="1:4" x14ac:dyDescent="0.25">
      <c r="A4653" t="s">
        <v>660</v>
      </c>
      <c r="B4653" t="s">
        <v>32</v>
      </c>
      <c r="C4653" s="2">
        <f>HYPERLINK("https://sao.dolgi.msk.ru/account/1404253279/", 1404253279)</f>
        <v>1404253279</v>
      </c>
      <c r="D4653">
        <v>4457.21</v>
      </c>
    </row>
    <row r="4654" spans="1:4" hidden="1" x14ac:dyDescent="0.25">
      <c r="A4654" t="s">
        <v>660</v>
      </c>
      <c r="B4654" t="s">
        <v>33</v>
      </c>
      <c r="C4654" s="2">
        <f>HYPERLINK("https://sao.dolgi.msk.ru/account/1404253287/", 1404253287)</f>
        <v>1404253287</v>
      </c>
      <c r="D4654">
        <v>-4502.72</v>
      </c>
    </row>
    <row r="4655" spans="1:4" hidden="1" x14ac:dyDescent="0.25">
      <c r="A4655" t="s">
        <v>660</v>
      </c>
      <c r="B4655" t="s">
        <v>34</v>
      </c>
      <c r="C4655" s="2">
        <f>HYPERLINK("https://sao.dolgi.msk.ru/account/1404252436/", 1404252436)</f>
        <v>1404252436</v>
      </c>
      <c r="D4655">
        <v>0</v>
      </c>
    </row>
    <row r="4656" spans="1:4" x14ac:dyDescent="0.25">
      <c r="A4656" t="s">
        <v>660</v>
      </c>
      <c r="B4656" t="s">
        <v>35</v>
      </c>
      <c r="C4656" s="2">
        <f>HYPERLINK("https://sao.dolgi.msk.ru/account/1404252145/", 1404252145)</f>
        <v>1404252145</v>
      </c>
      <c r="D4656">
        <v>12068.25</v>
      </c>
    </row>
    <row r="4657" spans="1:4" hidden="1" x14ac:dyDescent="0.25">
      <c r="A4657" t="s">
        <v>660</v>
      </c>
      <c r="B4657" t="s">
        <v>36</v>
      </c>
      <c r="C4657" s="2">
        <f>HYPERLINK("https://sao.dolgi.msk.ru/account/1404251812/", 1404251812)</f>
        <v>1404251812</v>
      </c>
      <c r="D4657">
        <v>-3523.84</v>
      </c>
    </row>
    <row r="4658" spans="1:4" hidden="1" x14ac:dyDescent="0.25">
      <c r="A4658" t="s">
        <v>660</v>
      </c>
      <c r="B4658" t="s">
        <v>37</v>
      </c>
      <c r="C4658" s="2">
        <f>HYPERLINK("https://sao.dolgi.msk.ru/account/1404253295/", 1404253295)</f>
        <v>1404253295</v>
      </c>
      <c r="D4658">
        <v>-2735.11</v>
      </c>
    </row>
    <row r="4659" spans="1:4" hidden="1" x14ac:dyDescent="0.25">
      <c r="A4659" t="s">
        <v>660</v>
      </c>
      <c r="B4659" t="s">
        <v>38</v>
      </c>
      <c r="C4659" s="2">
        <f>HYPERLINK("https://sao.dolgi.msk.ru/account/1404252444/", 1404252444)</f>
        <v>1404252444</v>
      </c>
      <c r="D4659">
        <v>-6204.16</v>
      </c>
    </row>
    <row r="4660" spans="1:4" hidden="1" x14ac:dyDescent="0.25">
      <c r="A4660" t="s">
        <v>660</v>
      </c>
      <c r="B4660" t="s">
        <v>39</v>
      </c>
      <c r="C4660" s="2">
        <f>HYPERLINK("https://sao.dolgi.msk.ru/account/1404252831/", 1404252831)</f>
        <v>1404252831</v>
      </c>
      <c r="D4660">
        <v>-3644.06</v>
      </c>
    </row>
    <row r="4661" spans="1:4" hidden="1" x14ac:dyDescent="0.25">
      <c r="A4661" t="s">
        <v>660</v>
      </c>
      <c r="B4661" t="s">
        <v>40</v>
      </c>
      <c r="C4661" s="2">
        <f>HYPERLINK("https://sao.dolgi.msk.ru/account/1404251839/", 1404251839)</f>
        <v>1404251839</v>
      </c>
      <c r="D4661">
        <v>-3945.08</v>
      </c>
    </row>
    <row r="4662" spans="1:4" hidden="1" x14ac:dyDescent="0.25">
      <c r="A4662" t="s">
        <v>660</v>
      </c>
      <c r="B4662" t="s">
        <v>41</v>
      </c>
      <c r="C4662" s="2">
        <f>HYPERLINK("https://sao.dolgi.msk.ru/account/1404252858/", 1404252858)</f>
        <v>1404252858</v>
      </c>
      <c r="D4662">
        <v>-4331.8100000000004</v>
      </c>
    </row>
    <row r="4663" spans="1:4" x14ac:dyDescent="0.25">
      <c r="A4663" t="s">
        <v>660</v>
      </c>
      <c r="B4663" t="s">
        <v>42</v>
      </c>
      <c r="C4663" s="2">
        <f>HYPERLINK("https://sao.dolgi.msk.ru/account/1404252153/", 1404252153)</f>
        <v>1404252153</v>
      </c>
      <c r="D4663">
        <v>13412.39</v>
      </c>
    </row>
    <row r="4664" spans="1:4" hidden="1" x14ac:dyDescent="0.25">
      <c r="A4664" t="s">
        <v>660</v>
      </c>
      <c r="B4664" t="s">
        <v>43</v>
      </c>
      <c r="C4664" s="2">
        <f>HYPERLINK("https://sao.dolgi.msk.ru/account/1404253981/", 1404253981)</f>
        <v>1404253981</v>
      </c>
      <c r="D4664">
        <v>-6822.98</v>
      </c>
    </row>
    <row r="4665" spans="1:4" hidden="1" x14ac:dyDescent="0.25">
      <c r="A4665" t="s">
        <v>660</v>
      </c>
      <c r="B4665" t="s">
        <v>44</v>
      </c>
      <c r="C4665" s="2">
        <f>HYPERLINK("https://sao.dolgi.msk.ru/account/1404253033/", 1404253033)</f>
        <v>1404253033</v>
      </c>
      <c r="D4665">
        <v>-6407.76</v>
      </c>
    </row>
    <row r="4666" spans="1:4" hidden="1" x14ac:dyDescent="0.25">
      <c r="A4666" t="s">
        <v>660</v>
      </c>
      <c r="B4666" t="s">
        <v>45</v>
      </c>
      <c r="C4666" s="2">
        <f>HYPERLINK("https://sao.dolgi.msk.ru/account/1404254204/", 1404254204)</f>
        <v>1404254204</v>
      </c>
      <c r="D4666">
        <v>-6764.09</v>
      </c>
    </row>
    <row r="4667" spans="1:4" hidden="1" x14ac:dyDescent="0.25">
      <c r="A4667" t="s">
        <v>660</v>
      </c>
      <c r="B4667" t="s">
        <v>46</v>
      </c>
      <c r="C4667" s="2">
        <f>HYPERLINK("https://sao.dolgi.msk.ru/account/1404252575/", 1404252575)</f>
        <v>1404252575</v>
      </c>
      <c r="D4667">
        <v>-4996.62</v>
      </c>
    </row>
    <row r="4668" spans="1:4" x14ac:dyDescent="0.25">
      <c r="A4668" t="s">
        <v>660</v>
      </c>
      <c r="B4668" t="s">
        <v>47</v>
      </c>
      <c r="C4668" s="2">
        <f>HYPERLINK("https://sao.dolgi.msk.ru/account/1404253471/", 1404253471)</f>
        <v>1404253471</v>
      </c>
      <c r="D4668">
        <v>164.56</v>
      </c>
    </row>
    <row r="4669" spans="1:4" x14ac:dyDescent="0.25">
      <c r="A4669" t="s">
        <v>660</v>
      </c>
      <c r="B4669" t="s">
        <v>47</v>
      </c>
      <c r="C4669" s="2">
        <f>HYPERLINK("https://sao.dolgi.msk.ru/account/1404253498/", 1404253498)</f>
        <v>1404253498</v>
      </c>
      <c r="D4669">
        <v>164.56</v>
      </c>
    </row>
    <row r="4670" spans="1:4" hidden="1" x14ac:dyDescent="0.25">
      <c r="A4670" t="s">
        <v>660</v>
      </c>
      <c r="B4670" t="s">
        <v>48</v>
      </c>
      <c r="C4670" s="2">
        <f>HYPERLINK("https://sao.dolgi.msk.ru/account/1404251775/", 1404251775)</f>
        <v>1404251775</v>
      </c>
      <c r="D4670">
        <v>-3308.35</v>
      </c>
    </row>
    <row r="4671" spans="1:4" x14ac:dyDescent="0.25">
      <c r="A4671" t="s">
        <v>660</v>
      </c>
      <c r="B4671" t="s">
        <v>49</v>
      </c>
      <c r="C4671" s="2">
        <f>HYPERLINK("https://sao.dolgi.msk.ru/account/1404252268/", 1404252268)</f>
        <v>1404252268</v>
      </c>
      <c r="D4671">
        <v>23351.52</v>
      </c>
    </row>
    <row r="4672" spans="1:4" hidden="1" x14ac:dyDescent="0.25">
      <c r="A4672" t="s">
        <v>660</v>
      </c>
      <c r="B4672" t="s">
        <v>50</v>
      </c>
      <c r="C4672" s="2">
        <f>HYPERLINK("https://sao.dolgi.msk.ru/account/1404253041/", 1404253041)</f>
        <v>1404253041</v>
      </c>
      <c r="D4672">
        <v>-3755.47</v>
      </c>
    </row>
    <row r="4673" spans="1:4" hidden="1" x14ac:dyDescent="0.25">
      <c r="A4673" t="s">
        <v>660</v>
      </c>
      <c r="B4673" t="s">
        <v>51</v>
      </c>
      <c r="C4673" s="2">
        <f>HYPERLINK("https://sao.dolgi.msk.ru/account/1404253519/", 1404253519)</f>
        <v>1404253519</v>
      </c>
      <c r="D4673">
        <v>-7012.14</v>
      </c>
    </row>
    <row r="4674" spans="1:4" hidden="1" x14ac:dyDescent="0.25">
      <c r="A4674" t="s">
        <v>660</v>
      </c>
      <c r="B4674" t="s">
        <v>52</v>
      </c>
      <c r="C4674" s="2">
        <f>HYPERLINK("https://sao.dolgi.msk.ru/account/1404254212/", 1404254212)</f>
        <v>1404254212</v>
      </c>
      <c r="D4674">
        <v>-7095.7</v>
      </c>
    </row>
    <row r="4675" spans="1:4" hidden="1" x14ac:dyDescent="0.25">
      <c r="A4675" t="s">
        <v>660</v>
      </c>
      <c r="B4675" t="s">
        <v>53</v>
      </c>
      <c r="C4675" s="2">
        <f>HYPERLINK("https://sao.dolgi.msk.ru/account/1404252583/", 1404252583)</f>
        <v>1404252583</v>
      </c>
      <c r="D4675">
        <v>0</v>
      </c>
    </row>
    <row r="4676" spans="1:4" hidden="1" x14ac:dyDescent="0.25">
      <c r="A4676" t="s">
        <v>660</v>
      </c>
      <c r="B4676" t="s">
        <v>54</v>
      </c>
      <c r="C4676" s="2">
        <f>HYPERLINK("https://sao.dolgi.msk.ru/account/1404252276/", 1404252276)</f>
        <v>1404252276</v>
      </c>
      <c r="D4676">
        <v>-6186.22</v>
      </c>
    </row>
    <row r="4677" spans="1:4" hidden="1" x14ac:dyDescent="0.25">
      <c r="A4677" t="s">
        <v>660</v>
      </c>
      <c r="B4677" t="s">
        <v>55</v>
      </c>
      <c r="C4677" s="2">
        <f>HYPERLINK("https://sao.dolgi.msk.ru/account/1404253527/", 1404253527)</f>
        <v>1404253527</v>
      </c>
      <c r="D4677">
        <v>-2323.86</v>
      </c>
    </row>
    <row r="4678" spans="1:4" hidden="1" x14ac:dyDescent="0.25">
      <c r="A4678" t="s">
        <v>660</v>
      </c>
      <c r="B4678" t="s">
        <v>56</v>
      </c>
      <c r="C4678" s="2">
        <f>HYPERLINK("https://sao.dolgi.msk.ru/account/1404253834/", 1404253834)</f>
        <v>1404253834</v>
      </c>
      <c r="D4678">
        <v>-6870.39</v>
      </c>
    </row>
    <row r="4679" spans="1:4" hidden="1" x14ac:dyDescent="0.25">
      <c r="A4679" t="s">
        <v>660</v>
      </c>
      <c r="B4679" t="s">
        <v>57</v>
      </c>
      <c r="C4679" s="2">
        <f>HYPERLINK("https://sao.dolgi.msk.ru/account/1404252284/", 1404252284)</f>
        <v>1404252284</v>
      </c>
      <c r="D4679">
        <v>0</v>
      </c>
    </row>
    <row r="4680" spans="1:4" hidden="1" x14ac:dyDescent="0.25">
      <c r="A4680" t="s">
        <v>660</v>
      </c>
      <c r="B4680" t="s">
        <v>58</v>
      </c>
      <c r="C4680" s="2">
        <f>HYPERLINK("https://sao.dolgi.msk.ru/account/1404252292/", 1404252292)</f>
        <v>1404252292</v>
      </c>
      <c r="D4680">
        <v>-1943.1</v>
      </c>
    </row>
    <row r="4681" spans="1:4" hidden="1" x14ac:dyDescent="0.25">
      <c r="A4681" t="s">
        <v>660</v>
      </c>
      <c r="B4681" t="s">
        <v>59</v>
      </c>
      <c r="C4681" s="2">
        <f>HYPERLINK("https://sao.dolgi.msk.ru/account/1404253068/", 1404253068)</f>
        <v>1404253068</v>
      </c>
      <c r="D4681">
        <v>-2747.15</v>
      </c>
    </row>
    <row r="4682" spans="1:4" x14ac:dyDescent="0.25">
      <c r="A4682" t="s">
        <v>660</v>
      </c>
      <c r="B4682" t="s">
        <v>60</v>
      </c>
      <c r="C4682" s="2">
        <f>HYPERLINK("https://sao.dolgi.msk.ru/account/1404252591/", 1404252591)</f>
        <v>1404252591</v>
      </c>
      <c r="D4682">
        <v>10839.99</v>
      </c>
    </row>
    <row r="4683" spans="1:4" hidden="1" x14ac:dyDescent="0.25">
      <c r="A4683" t="s">
        <v>660</v>
      </c>
      <c r="B4683" t="s">
        <v>61</v>
      </c>
      <c r="C4683" s="2">
        <f>HYPERLINK("https://sao.dolgi.msk.ru/account/1404252014/", 1404252014)</f>
        <v>1404252014</v>
      </c>
      <c r="D4683">
        <v>-14031.72</v>
      </c>
    </row>
    <row r="4684" spans="1:4" hidden="1" x14ac:dyDescent="0.25">
      <c r="A4684" t="s">
        <v>660</v>
      </c>
      <c r="B4684" t="s">
        <v>62</v>
      </c>
      <c r="C4684" s="2">
        <f>HYPERLINK("https://sao.dolgi.msk.ru/account/1404252604/", 1404252604)</f>
        <v>1404252604</v>
      </c>
      <c r="D4684">
        <v>-5087.54</v>
      </c>
    </row>
    <row r="4685" spans="1:4" hidden="1" x14ac:dyDescent="0.25">
      <c r="A4685" t="s">
        <v>660</v>
      </c>
      <c r="B4685" t="s">
        <v>63</v>
      </c>
      <c r="C4685" s="2">
        <f>HYPERLINK("https://sao.dolgi.msk.ru/account/1404253076/", 1404253076)</f>
        <v>1404253076</v>
      </c>
      <c r="D4685">
        <v>0</v>
      </c>
    </row>
    <row r="4686" spans="1:4" hidden="1" x14ac:dyDescent="0.25">
      <c r="A4686" t="s">
        <v>660</v>
      </c>
      <c r="B4686" t="s">
        <v>64</v>
      </c>
      <c r="C4686" s="2">
        <f>HYPERLINK("https://sao.dolgi.msk.ru/account/1404251732/", 1404251732)</f>
        <v>1404251732</v>
      </c>
      <c r="D4686">
        <v>-6993.15</v>
      </c>
    </row>
    <row r="4687" spans="1:4" hidden="1" x14ac:dyDescent="0.25">
      <c r="A4687" t="s">
        <v>660</v>
      </c>
      <c r="B4687" t="s">
        <v>65</v>
      </c>
      <c r="C4687" s="2">
        <f>HYPERLINK("https://sao.dolgi.msk.ru/account/1404251759/", 1404251759)</f>
        <v>1404251759</v>
      </c>
      <c r="D4687">
        <v>-4500.91</v>
      </c>
    </row>
    <row r="4688" spans="1:4" x14ac:dyDescent="0.25">
      <c r="A4688" t="s">
        <v>660</v>
      </c>
      <c r="B4688" t="s">
        <v>66</v>
      </c>
      <c r="C4688" s="2">
        <f>HYPERLINK("https://sao.dolgi.msk.ru/account/1404251994/", 1404251994)</f>
        <v>1404251994</v>
      </c>
      <c r="D4688">
        <v>51849.83</v>
      </c>
    </row>
    <row r="4689" spans="1:4" hidden="1" x14ac:dyDescent="0.25">
      <c r="A4689" t="s">
        <v>660</v>
      </c>
      <c r="B4689" t="s">
        <v>67</v>
      </c>
      <c r="C4689" s="2">
        <f>HYPERLINK("https://sao.dolgi.msk.ru/account/1404253818/", 1404253818)</f>
        <v>1404253818</v>
      </c>
      <c r="D4689">
        <v>0</v>
      </c>
    </row>
    <row r="4690" spans="1:4" hidden="1" x14ac:dyDescent="0.25">
      <c r="A4690" t="s">
        <v>660</v>
      </c>
      <c r="B4690" t="s">
        <v>68</v>
      </c>
      <c r="C4690" s="2">
        <f>HYPERLINK("https://sao.dolgi.msk.ru/account/1404251767/", 1404251767)</f>
        <v>1404251767</v>
      </c>
      <c r="D4690">
        <v>0</v>
      </c>
    </row>
    <row r="4691" spans="1:4" x14ac:dyDescent="0.25">
      <c r="A4691" t="s">
        <v>660</v>
      </c>
      <c r="B4691" t="s">
        <v>68</v>
      </c>
      <c r="C4691" s="2">
        <f>HYPERLINK("https://sao.dolgi.msk.ru/account/1404254319/", 1404254319)</f>
        <v>1404254319</v>
      </c>
      <c r="D4691">
        <v>3645.4</v>
      </c>
    </row>
    <row r="4692" spans="1:4" hidden="1" x14ac:dyDescent="0.25">
      <c r="A4692" t="s">
        <v>660</v>
      </c>
      <c r="B4692" t="s">
        <v>69</v>
      </c>
      <c r="C4692" s="2">
        <f>HYPERLINK("https://sao.dolgi.msk.ru/account/1404253463/", 1404253463)</f>
        <v>1404253463</v>
      </c>
      <c r="D4692">
        <v>0</v>
      </c>
    </row>
    <row r="4693" spans="1:4" x14ac:dyDescent="0.25">
      <c r="A4693" t="s">
        <v>660</v>
      </c>
      <c r="B4693" t="s">
        <v>70</v>
      </c>
      <c r="C4693" s="2">
        <f>HYPERLINK("https://sao.dolgi.msk.ru/account/1404252567/", 1404252567)</f>
        <v>1404252567</v>
      </c>
      <c r="D4693">
        <v>17797.64</v>
      </c>
    </row>
    <row r="4694" spans="1:4" x14ac:dyDescent="0.25">
      <c r="A4694" t="s">
        <v>660</v>
      </c>
      <c r="B4694" t="s">
        <v>71</v>
      </c>
      <c r="C4694" s="2">
        <f>HYPERLINK("https://sao.dolgi.msk.ru/account/1404253009/", 1404253009)</f>
        <v>1404253009</v>
      </c>
      <c r="D4694">
        <v>12963.31</v>
      </c>
    </row>
    <row r="4695" spans="1:4" hidden="1" x14ac:dyDescent="0.25">
      <c r="A4695" t="s">
        <v>660</v>
      </c>
      <c r="B4695" t="s">
        <v>72</v>
      </c>
      <c r="C4695" s="2">
        <f>HYPERLINK("https://sao.dolgi.msk.ru/account/1404253017/", 1404253017)</f>
        <v>1404253017</v>
      </c>
      <c r="D4695">
        <v>-3918.04</v>
      </c>
    </row>
    <row r="4696" spans="1:4" hidden="1" x14ac:dyDescent="0.25">
      <c r="A4696" t="s">
        <v>660</v>
      </c>
      <c r="B4696" t="s">
        <v>73</v>
      </c>
      <c r="C4696" s="2">
        <f>HYPERLINK("https://sao.dolgi.msk.ru/account/1404254175/", 1404254175)</f>
        <v>1404254175</v>
      </c>
      <c r="D4696">
        <v>-4547.6899999999996</v>
      </c>
    </row>
    <row r="4697" spans="1:4" x14ac:dyDescent="0.25">
      <c r="A4697" t="s">
        <v>660</v>
      </c>
      <c r="B4697" t="s">
        <v>74</v>
      </c>
      <c r="C4697" s="2">
        <f>HYPERLINK("https://sao.dolgi.msk.ru/account/1404251951/", 1404251951)</f>
        <v>1404251951</v>
      </c>
      <c r="D4697">
        <v>18027.77</v>
      </c>
    </row>
    <row r="4698" spans="1:4" x14ac:dyDescent="0.25">
      <c r="A4698" t="s">
        <v>660</v>
      </c>
      <c r="B4698" t="s">
        <v>75</v>
      </c>
      <c r="C4698" s="2">
        <f>HYPERLINK("https://sao.dolgi.msk.ru/account/1404252954/", 1404252954)</f>
        <v>1404252954</v>
      </c>
      <c r="D4698">
        <v>8346.3700000000008</v>
      </c>
    </row>
    <row r="4699" spans="1:4" hidden="1" x14ac:dyDescent="0.25">
      <c r="A4699" t="s">
        <v>660</v>
      </c>
      <c r="B4699" t="s">
        <v>76</v>
      </c>
      <c r="C4699" s="2">
        <f>HYPERLINK("https://sao.dolgi.msk.ru/account/1404252962/", 1404252962)</f>
        <v>1404252962</v>
      </c>
      <c r="D4699">
        <v>-2936.53</v>
      </c>
    </row>
    <row r="4700" spans="1:4" hidden="1" x14ac:dyDescent="0.25">
      <c r="A4700" t="s">
        <v>660</v>
      </c>
      <c r="B4700" t="s">
        <v>77</v>
      </c>
      <c r="C4700" s="2">
        <f>HYPERLINK("https://sao.dolgi.msk.ru/account/1404252559/", 1404252559)</f>
        <v>1404252559</v>
      </c>
      <c r="D4700">
        <v>-1688.8</v>
      </c>
    </row>
    <row r="4701" spans="1:4" hidden="1" x14ac:dyDescent="0.25">
      <c r="A4701" t="s">
        <v>660</v>
      </c>
      <c r="B4701" t="s">
        <v>78</v>
      </c>
      <c r="C4701" s="2">
        <f>HYPERLINK("https://sao.dolgi.msk.ru/account/1404253789/", 1404253789)</f>
        <v>1404253789</v>
      </c>
      <c r="D4701">
        <v>-3454.5</v>
      </c>
    </row>
    <row r="4702" spans="1:4" hidden="1" x14ac:dyDescent="0.25">
      <c r="A4702" t="s">
        <v>660</v>
      </c>
      <c r="B4702" t="s">
        <v>79</v>
      </c>
      <c r="C4702" s="2">
        <f>HYPERLINK("https://sao.dolgi.msk.ru/account/1404251978/", 1404251978)</f>
        <v>1404251978</v>
      </c>
      <c r="D4702">
        <v>-5598.13</v>
      </c>
    </row>
    <row r="4703" spans="1:4" hidden="1" x14ac:dyDescent="0.25">
      <c r="A4703" t="s">
        <v>660</v>
      </c>
      <c r="B4703" t="s">
        <v>80</v>
      </c>
      <c r="C4703" s="2">
        <f>HYPERLINK("https://sao.dolgi.msk.ru/account/1404254124/", 1404254124)</f>
        <v>1404254124</v>
      </c>
      <c r="D4703">
        <v>-6098.38</v>
      </c>
    </row>
    <row r="4704" spans="1:4" hidden="1" x14ac:dyDescent="0.25">
      <c r="A4704" t="s">
        <v>660</v>
      </c>
      <c r="B4704" t="s">
        <v>81</v>
      </c>
      <c r="C4704" s="2">
        <f>HYPERLINK("https://sao.dolgi.msk.ru/account/1404252989/", 1404252989)</f>
        <v>1404252989</v>
      </c>
      <c r="D4704">
        <v>-4931.75</v>
      </c>
    </row>
    <row r="4705" spans="1:4" x14ac:dyDescent="0.25">
      <c r="A4705" t="s">
        <v>660</v>
      </c>
      <c r="B4705" t="s">
        <v>82</v>
      </c>
      <c r="C4705" s="2">
        <f>HYPERLINK("https://sao.dolgi.msk.ru/account/1404253455/", 1404253455)</f>
        <v>1404253455</v>
      </c>
      <c r="D4705">
        <v>11097.14</v>
      </c>
    </row>
    <row r="4706" spans="1:4" x14ac:dyDescent="0.25">
      <c r="A4706" t="s">
        <v>660</v>
      </c>
      <c r="B4706" t="s">
        <v>83</v>
      </c>
      <c r="C4706" s="2">
        <f>HYPERLINK("https://sao.dolgi.msk.ru/account/1404251986/", 1404251986)</f>
        <v>1404251986</v>
      </c>
      <c r="D4706">
        <v>3945.08</v>
      </c>
    </row>
    <row r="4707" spans="1:4" hidden="1" x14ac:dyDescent="0.25">
      <c r="A4707" t="s">
        <v>660</v>
      </c>
      <c r="B4707" t="s">
        <v>84</v>
      </c>
      <c r="C4707" s="2">
        <f>HYPERLINK("https://sao.dolgi.msk.ru/account/1404253797/", 1404253797)</f>
        <v>1404253797</v>
      </c>
      <c r="D4707">
        <v>-4981.84</v>
      </c>
    </row>
    <row r="4708" spans="1:4" x14ac:dyDescent="0.25">
      <c r="A4708" t="s">
        <v>660</v>
      </c>
      <c r="B4708" t="s">
        <v>85</v>
      </c>
      <c r="C4708" s="2">
        <f>HYPERLINK("https://sao.dolgi.msk.ru/account/1404252997/", 1404252997)</f>
        <v>1404252997</v>
      </c>
      <c r="D4708">
        <v>13461.79</v>
      </c>
    </row>
    <row r="4709" spans="1:4" hidden="1" x14ac:dyDescent="0.25">
      <c r="A4709" t="s">
        <v>660</v>
      </c>
      <c r="B4709" t="s">
        <v>86</v>
      </c>
      <c r="C4709" s="2">
        <f>HYPERLINK("https://sao.dolgi.msk.ru/account/1404251724/", 1404251724)</f>
        <v>1404251724</v>
      </c>
      <c r="D4709">
        <v>0</v>
      </c>
    </row>
    <row r="4710" spans="1:4" x14ac:dyDescent="0.25">
      <c r="A4710" t="s">
        <v>660</v>
      </c>
      <c r="B4710" t="s">
        <v>87</v>
      </c>
      <c r="C4710" s="2">
        <f>HYPERLINK("https://sao.dolgi.msk.ru/account/1404252233/", 1404252233)</f>
        <v>1404252233</v>
      </c>
      <c r="D4710">
        <v>12486.06</v>
      </c>
    </row>
    <row r="4711" spans="1:4" hidden="1" x14ac:dyDescent="0.25">
      <c r="A4711" t="s">
        <v>660</v>
      </c>
      <c r="B4711" t="s">
        <v>88</v>
      </c>
      <c r="C4711" s="2">
        <f>HYPERLINK("https://sao.dolgi.msk.ru/account/1404254159/", 1404254159)</f>
        <v>1404254159</v>
      </c>
      <c r="D4711">
        <v>-5200.62</v>
      </c>
    </row>
    <row r="4712" spans="1:4" x14ac:dyDescent="0.25">
      <c r="A4712" t="s">
        <v>660</v>
      </c>
      <c r="B4712" t="s">
        <v>89</v>
      </c>
      <c r="C4712" s="2">
        <f>HYPERLINK("https://sao.dolgi.msk.ru/account/1404254167/", 1404254167)</f>
        <v>1404254167</v>
      </c>
      <c r="D4712">
        <v>16916.2</v>
      </c>
    </row>
    <row r="4713" spans="1:4" hidden="1" x14ac:dyDescent="0.25">
      <c r="A4713" t="s">
        <v>660</v>
      </c>
      <c r="B4713" t="s">
        <v>90</v>
      </c>
      <c r="C4713" s="2">
        <f>HYPERLINK("https://sao.dolgi.msk.ru/account/1404253762/", 1404253762)</f>
        <v>1404253762</v>
      </c>
      <c r="D4713">
        <v>0</v>
      </c>
    </row>
    <row r="4714" spans="1:4" hidden="1" x14ac:dyDescent="0.25">
      <c r="A4714" t="s">
        <v>660</v>
      </c>
      <c r="B4714" t="s">
        <v>91</v>
      </c>
      <c r="C4714" s="2">
        <f>HYPERLINK("https://sao.dolgi.msk.ru/account/1404251679/", 1404251679)</f>
        <v>1404251679</v>
      </c>
      <c r="D4714">
        <v>-4622.59</v>
      </c>
    </row>
    <row r="4715" spans="1:4" hidden="1" x14ac:dyDescent="0.25">
      <c r="A4715" t="s">
        <v>660</v>
      </c>
      <c r="B4715" t="s">
        <v>92</v>
      </c>
      <c r="C4715" s="2">
        <f>HYPERLINK("https://sao.dolgi.msk.ru/account/1404251687/", 1404251687)</f>
        <v>1404251687</v>
      </c>
      <c r="D4715">
        <v>-4620.4399999999996</v>
      </c>
    </row>
    <row r="4716" spans="1:4" x14ac:dyDescent="0.25">
      <c r="A4716" t="s">
        <v>660</v>
      </c>
      <c r="B4716" t="s">
        <v>93</v>
      </c>
      <c r="C4716" s="2">
        <f>HYPERLINK("https://sao.dolgi.msk.ru/account/1404252217/", 1404252217)</f>
        <v>1404252217</v>
      </c>
      <c r="D4716">
        <v>6474.4</v>
      </c>
    </row>
    <row r="4717" spans="1:4" x14ac:dyDescent="0.25">
      <c r="A4717" t="s">
        <v>660</v>
      </c>
      <c r="B4717" t="s">
        <v>93</v>
      </c>
      <c r="C4717" s="2">
        <f>HYPERLINK("https://sao.dolgi.msk.ru/account/1404252225/", 1404252225)</f>
        <v>1404252225</v>
      </c>
      <c r="D4717">
        <v>15531.46</v>
      </c>
    </row>
    <row r="4718" spans="1:4" hidden="1" x14ac:dyDescent="0.25">
      <c r="A4718" t="s">
        <v>660</v>
      </c>
      <c r="B4718" t="s">
        <v>94</v>
      </c>
      <c r="C4718" s="2">
        <f>HYPERLINK("https://sao.dolgi.msk.ru/account/1404251943/", 1404251943)</f>
        <v>1404251943</v>
      </c>
      <c r="D4718">
        <v>-3781.39</v>
      </c>
    </row>
    <row r="4719" spans="1:4" x14ac:dyDescent="0.25">
      <c r="A4719" t="s">
        <v>660</v>
      </c>
      <c r="B4719" t="s">
        <v>95</v>
      </c>
      <c r="C4719" s="2">
        <f>HYPERLINK("https://sao.dolgi.msk.ru/account/1404252946/", 1404252946)</f>
        <v>1404252946</v>
      </c>
      <c r="D4719">
        <v>4383.49</v>
      </c>
    </row>
    <row r="4720" spans="1:4" hidden="1" x14ac:dyDescent="0.25">
      <c r="A4720" t="s">
        <v>660</v>
      </c>
      <c r="B4720" t="s">
        <v>96</v>
      </c>
      <c r="C4720" s="2">
        <f>HYPERLINK("https://sao.dolgi.msk.ru/account/1404252524/", 1404252524)</f>
        <v>1404252524</v>
      </c>
      <c r="D4720">
        <v>-7218.37</v>
      </c>
    </row>
    <row r="4721" spans="1:4" hidden="1" x14ac:dyDescent="0.25">
      <c r="A4721" t="s">
        <v>660</v>
      </c>
      <c r="B4721" t="s">
        <v>97</v>
      </c>
      <c r="C4721" s="2">
        <f>HYPERLINK("https://sao.dolgi.msk.ru/account/1404251695/", 1404251695)</f>
        <v>1404251695</v>
      </c>
      <c r="D4721">
        <v>-6759.16</v>
      </c>
    </row>
    <row r="4722" spans="1:4" x14ac:dyDescent="0.25">
      <c r="A4722" t="s">
        <v>660</v>
      </c>
      <c r="B4722" t="s">
        <v>98</v>
      </c>
      <c r="C4722" s="2">
        <f>HYPERLINK("https://sao.dolgi.msk.ru/account/1404253439/", 1404253439)</f>
        <v>1404253439</v>
      </c>
      <c r="D4722">
        <v>5581.7</v>
      </c>
    </row>
    <row r="4723" spans="1:4" hidden="1" x14ac:dyDescent="0.25">
      <c r="A4723" t="s">
        <v>660</v>
      </c>
      <c r="B4723" t="s">
        <v>99</v>
      </c>
      <c r="C4723" s="2">
        <f>HYPERLINK("https://sao.dolgi.msk.ru/account/1404253447/", 1404253447)</f>
        <v>1404253447</v>
      </c>
      <c r="D4723">
        <v>0</v>
      </c>
    </row>
    <row r="4724" spans="1:4" hidden="1" x14ac:dyDescent="0.25">
      <c r="A4724" t="s">
        <v>660</v>
      </c>
      <c r="B4724" t="s">
        <v>100</v>
      </c>
      <c r="C4724" s="2">
        <f>HYPERLINK("https://sao.dolgi.msk.ru/account/1404254108/", 1404254108)</f>
        <v>1404254108</v>
      </c>
      <c r="D4724">
        <v>-2945.31</v>
      </c>
    </row>
    <row r="4725" spans="1:4" x14ac:dyDescent="0.25">
      <c r="A4725" t="s">
        <v>660</v>
      </c>
      <c r="B4725" t="s">
        <v>101</v>
      </c>
      <c r="C4725" s="2">
        <f>HYPERLINK("https://sao.dolgi.msk.ru/account/1404251708/", 1404251708)</f>
        <v>1404251708</v>
      </c>
      <c r="D4725">
        <v>39389.769999999997</v>
      </c>
    </row>
    <row r="4726" spans="1:4" x14ac:dyDescent="0.25">
      <c r="A4726" t="s">
        <v>660</v>
      </c>
      <c r="B4726" t="s">
        <v>102</v>
      </c>
      <c r="C4726" s="2">
        <f>HYPERLINK("https://sao.dolgi.msk.ru/account/1404254116/", 1404254116)</f>
        <v>1404254116</v>
      </c>
      <c r="D4726">
        <v>9442.5499999999993</v>
      </c>
    </row>
    <row r="4727" spans="1:4" hidden="1" x14ac:dyDescent="0.25">
      <c r="A4727" t="s">
        <v>660</v>
      </c>
      <c r="B4727" t="s">
        <v>103</v>
      </c>
      <c r="C4727" s="2">
        <f>HYPERLINK("https://sao.dolgi.msk.ru/account/1404252532/", 1404252532)</f>
        <v>1404252532</v>
      </c>
      <c r="D4727">
        <v>-61.74</v>
      </c>
    </row>
    <row r="4728" spans="1:4" hidden="1" x14ac:dyDescent="0.25">
      <c r="A4728" t="s">
        <v>660</v>
      </c>
      <c r="B4728" t="s">
        <v>104</v>
      </c>
      <c r="C4728" s="2">
        <f>HYPERLINK("https://sao.dolgi.msk.ru/account/1404254079/", 1404254079)</f>
        <v>1404254079</v>
      </c>
      <c r="D4728">
        <v>-4559.24</v>
      </c>
    </row>
    <row r="4729" spans="1:4" hidden="1" x14ac:dyDescent="0.25">
      <c r="A4729" t="s">
        <v>660</v>
      </c>
      <c r="B4729" t="s">
        <v>105</v>
      </c>
      <c r="C4729" s="2">
        <f>HYPERLINK("https://sao.dolgi.msk.ru/account/1404251919/", 1404251919)</f>
        <v>1404251919</v>
      </c>
      <c r="D4729">
        <v>0</v>
      </c>
    </row>
    <row r="4730" spans="1:4" x14ac:dyDescent="0.25">
      <c r="A4730" t="s">
        <v>660</v>
      </c>
      <c r="B4730" t="s">
        <v>106</v>
      </c>
      <c r="C4730" s="2">
        <f>HYPERLINK("https://sao.dolgi.msk.ru/account/1404252903/", 1404252903)</f>
        <v>1404252903</v>
      </c>
      <c r="D4730">
        <v>7093.45</v>
      </c>
    </row>
    <row r="4731" spans="1:4" x14ac:dyDescent="0.25">
      <c r="A4731" t="s">
        <v>660</v>
      </c>
      <c r="B4731" t="s">
        <v>106</v>
      </c>
      <c r="C4731" s="2">
        <f>HYPERLINK("https://sao.dolgi.msk.ru/account/1404253383/", 1404253383)</f>
        <v>1404253383</v>
      </c>
      <c r="D4731">
        <v>10199.530000000001</v>
      </c>
    </row>
    <row r="4732" spans="1:4" x14ac:dyDescent="0.25">
      <c r="A4732" t="s">
        <v>660</v>
      </c>
      <c r="B4732" t="s">
        <v>106</v>
      </c>
      <c r="C4732" s="2">
        <f>HYPERLINK("https://sao.dolgi.msk.ru/account/1404254087/", 1404254087)</f>
        <v>1404254087</v>
      </c>
      <c r="D4732">
        <v>12086.2</v>
      </c>
    </row>
    <row r="4733" spans="1:4" hidden="1" x14ac:dyDescent="0.25">
      <c r="A4733" t="s">
        <v>660</v>
      </c>
      <c r="B4733" t="s">
        <v>107</v>
      </c>
      <c r="C4733" s="2">
        <f>HYPERLINK("https://sao.dolgi.msk.ru/account/1404251927/", 1404251927)</f>
        <v>1404251927</v>
      </c>
      <c r="D4733">
        <v>-6611.37</v>
      </c>
    </row>
    <row r="4734" spans="1:4" hidden="1" x14ac:dyDescent="0.25">
      <c r="A4734" t="s">
        <v>660</v>
      </c>
      <c r="B4734" t="s">
        <v>108</v>
      </c>
      <c r="C4734" s="2">
        <f>HYPERLINK("https://sao.dolgi.msk.ru/account/1404254095/", 1404254095)</f>
        <v>1404254095</v>
      </c>
      <c r="D4734">
        <v>-6185.54</v>
      </c>
    </row>
    <row r="4735" spans="1:4" x14ac:dyDescent="0.25">
      <c r="A4735" t="s">
        <v>660</v>
      </c>
      <c r="B4735" t="s">
        <v>109</v>
      </c>
      <c r="C4735" s="2">
        <f>HYPERLINK("https://sao.dolgi.msk.ru/account/1404254327/", 1404254327)</f>
        <v>1404254327</v>
      </c>
      <c r="D4735">
        <v>893.92</v>
      </c>
    </row>
    <row r="4736" spans="1:4" hidden="1" x14ac:dyDescent="0.25">
      <c r="A4736" t="s">
        <v>660</v>
      </c>
      <c r="B4736" t="s">
        <v>110</v>
      </c>
      <c r="C4736" s="2">
        <f>HYPERLINK("https://sao.dolgi.msk.ru/account/1404252196/", 1404252196)</f>
        <v>1404252196</v>
      </c>
      <c r="D4736">
        <v>-6280.9</v>
      </c>
    </row>
    <row r="4737" spans="1:4" hidden="1" x14ac:dyDescent="0.25">
      <c r="A4737" t="s">
        <v>660</v>
      </c>
      <c r="B4737" t="s">
        <v>111</v>
      </c>
      <c r="C4737" s="2">
        <f>HYPERLINK("https://sao.dolgi.msk.ru/account/1404251935/", 1404251935)</f>
        <v>1404251935</v>
      </c>
      <c r="D4737">
        <v>-2458.9899999999998</v>
      </c>
    </row>
    <row r="4738" spans="1:4" x14ac:dyDescent="0.25">
      <c r="A4738" t="s">
        <v>660</v>
      </c>
      <c r="B4738" t="s">
        <v>112</v>
      </c>
      <c r="C4738" s="2">
        <f>HYPERLINK("https://sao.dolgi.msk.ru/account/1404254001/", 1404254001)</f>
        <v>1404254001</v>
      </c>
      <c r="D4738">
        <v>35001.449999999997</v>
      </c>
    </row>
    <row r="4739" spans="1:4" hidden="1" x14ac:dyDescent="0.25">
      <c r="A4739" t="s">
        <v>660</v>
      </c>
      <c r="B4739" t="s">
        <v>113</v>
      </c>
      <c r="C4739" s="2">
        <f>HYPERLINK("https://sao.dolgi.msk.ru/account/1404253391/", 1404253391)</f>
        <v>1404253391</v>
      </c>
      <c r="D4739">
        <v>0</v>
      </c>
    </row>
    <row r="4740" spans="1:4" hidden="1" x14ac:dyDescent="0.25">
      <c r="A4740" t="s">
        <v>660</v>
      </c>
      <c r="B4740" t="s">
        <v>114</v>
      </c>
      <c r="C4740" s="2">
        <f>HYPERLINK("https://sao.dolgi.msk.ru/account/1404252911/", 1404252911)</f>
        <v>1404252911</v>
      </c>
      <c r="D4740">
        <v>-4610.46</v>
      </c>
    </row>
    <row r="4741" spans="1:4" hidden="1" x14ac:dyDescent="0.25">
      <c r="A4741" t="s">
        <v>660</v>
      </c>
      <c r="B4741" t="s">
        <v>115</v>
      </c>
      <c r="C4741" s="2">
        <f>HYPERLINK("https://sao.dolgi.msk.ru/account/1404252516/", 1404252516)</f>
        <v>1404252516</v>
      </c>
      <c r="D4741">
        <v>0</v>
      </c>
    </row>
    <row r="4742" spans="1:4" hidden="1" x14ac:dyDescent="0.25">
      <c r="A4742" t="s">
        <v>660</v>
      </c>
      <c r="B4742" t="s">
        <v>116</v>
      </c>
      <c r="C4742" s="2">
        <f>HYPERLINK("https://sao.dolgi.msk.ru/account/1404253404/", 1404253404)</f>
        <v>1404253404</v>
      </c>
      <c r="D4742">
        <v>-5355.57</v>
      </c>
    </row>
    <row r="4743" spans="1:4" x14ac:dyDescent="0.25">
      <c r="A4743" t="s">
        <v>660</v>
      </c>
      <c r="B4743" t="s">
        <v>117</v>
      </c>
      <c r="C4743" s="2">
        <f>HYPERLINK("https://sao.dolgi.msk.ru/account/1404253412/", 1404253412)</f>
        <v>1404253412</v>
      </c>
      <c r="D4743">
        <v>6801.26</v>
      </c>
    </row>
    <row r="4744" spans="1:4" x14ac:dyDescent="0.25">
      <c r="A4744" t="s">
        <v>660</v>
      </c>
      <c r="B4744" t="s">
        <v>118</v>
      </c>
      <c r="C4744" s="2">
        <f>HYPERLINK("https://sao.dolgi.msk.ru/account/1404252209/", 1404252209)</f>
        <v>1404252209</v>
      </c>
      <c r="D4744">
        <v>22886.31</v>
      </c>
    </row>
    <row r="4745" spans="1:4" hidden="1" x14ac:dyDescent="0.25">
      <c r="A4745" t="s">
        <v>660</v>
      </c>
      <c r="B4745" t="s">
        <v>119</v>
      </c>
      <c r="C4745" s="2">
        <f>HYPERLINK("https://sao.dolgi.msk.ru/account/1404253746/", 1404253746)</f>
        <v>1404253746</v>
      </c>
      <c r="D4745">
        <v>0</v>
      </c>
    </row>
    <row r="4746" spans="1:4" hidden="1" x14ac:dyDescent="0.25">
      <c r="A4746" t="s">
        <v>660</v>
      </c>
      <c r="B4746" t="s">
        <v>120</v>
      </c>
      <c r="C4746" s="2">
        <f>HYPERLINK("https://sao.dolgi.msk.ru/account/1404252495/", 1404252495)</f>
        <v>1404252495</v>
      </c>
      <c r="D4746">
        <v>-5783.56</v>
      </c>
    </row>
    <row r="4747" spans="1:4" x14ac:dyDescent="0.25">
      <c r="A4747" t="s">
        <v>660</v>
      </c>
      <c r="B4747" t="s">
        <v>121</v>
      </c>
      <c r="C4747" s="2">
        <f>HYPERLINK("https://sao.dolgi.msk.ru/account/1404251898/", 1404251898)</f>
        <v>1404251898</v>
      </c>
      <c r="D4747">
        <v>3046.7</v>
      </c>
    </row>
    <row r="4748" spans="1:4" hidden="1" x14ac:dyDescent="0.25">
      <c r="A4748" t="s">
        <v>660</v>
      </c>
      <c r="B4748" t="s">
        <v>122</v>
      </c>
      <c r="C4748" s="2">
        <f>HYPERLINK("https://sao.dolgi.msk.ru/account/1404254028/", 1404254028)</f>
        <v>1404254028</v>
      </c>
      <c r="D4748">
        <v>-4114.82</v>
      </c>
    </row>
    <row r="4749" spans="1:4" x14ac:dyDescent="0.25">
      <c r="A4749" t="s">
        <v>660</v>
      </c>
      <c r="B4749" t="s">
        <v>123</v>
      </c>
      <c r="C4749" s="2">
        <f>HYPERLINK("https://sao.dolgi.msk.ru/account/1404253308/", 1404253308)</f>
        <v>1404253308</v>
      </c>
      <c r="D4749">
        <v>3096.53</v>
      </c>
    </row>
    <row r="4750" spans="1:4" hidden="1" x14ac:dyDescent="0.25">
      <c r="A4750" t="s">
        <v>660</v>
      </c>
      <c r="B4750" t="s">
        <v>124</v>
      </c>
      <c r="C4750" s="2">
        <f>HYPERLINK("https://sao.dolgi.msk.ru/account/1404252452/", 1404252452)</f>
        <v>1404252452</v>
      </c>
      <c r="D4750">
        <v>0</v>
      </c>
    </row>
    <row r="4751" spans="1:4" hidden="1" x14ac:dyDescent="0.25">
      <c r="A4751" t="s">
        <v>660</v>
      </c>
      <c r="B4751" t="s">
        <v>125</v>
      </c>
      <c r="C4751" s="2">
        <f>HYPERLINK("https://sao.dolgi.msk.ru/account/1404254036/", 1404254036)</f>
        <v>1404254036</v>
      </c>
      <c r="D4751">
        <v>0</v>
      </c>
    </row>
    <row r="4752" spans="1:4" hidden="1" x14ac:dyDescent="0.25">
      <c r="A4752" t="s">
        <v>660</v>
      </c>
      <c r="B4752" t="s">
        <v>126</v>
      </c>
      <c r="C4752" s="2">
        <f>HYPERLINK("https://sao.dolgi.msk.ru/account/1404253682/", 1404253682)</f>
        <v>1404253682</v>
      </c>
      <c r="D4752">
        <v>-7362.34</v>
      </c>
    </row>
    <row r="4753" spans="1:4" hidden="1" x14ac:dyDescent="0.25">
      <c r="A4753" t="s">
        <v>660</v>
      </c>
      <c r="B4753" t="s">
        <v>127</v>
      </c>
      <c r="C4753" s="2">
        <f>HYPERLINK("https://sao.dolgi.msk.ru/account/1404253316/", 1404253316)</f>
        <v>1404253316</v>
      </c>
      <c r="D4753">
        <v>-3202.04</v>
      </c>
    </row>
    <row r="4754" spans="1:4" hidden="1" x14ac:dyDescent="0.25">
      <c r="A4754" t="s">
        <v>660</v>
      </c>
      <c r="B4754" t="s">
        <v>128</v>
      </c>
      <c r="C4754" s="2">
        <f>HYPERLINK("https://sao.dolgi.msk.ru/account/1404251636/", 1404251636)</f>
        <v>1404251636</v>
      </c>
      <c r="D4754">
        <v>0</v>
      </c>
    </row>
    <row r="4755" spans="1:4" hidden="1" x14ac:dyDescent="0.25">
      <c r="A4755" t="s">
        <v>660</v>
      </c>
      <c r="B4755" t="s">
        <v>129</v>
      </c>
      <c r="C4755" s="2">
        <f>HYPERLINK("https://sao.dolgi.msk.ru/account/1404253324/", 1404253324)</f>
        <v>1404253324</v>
      </c>
      <c r="D4755">
        <v>-1092.3499999999999</v>
      </c>
    </row>
    <row r="4756" spans="1:4" hidden="1" x14ac:dyDescent="0.25">
      <c r="A4756" t="s">
        <v>660</v>
      </c>
      <c r="B4756" t="s">
        <v>130</v>
      </c>
      <c r="C4756" s="2">
        <f>HYPERLINK("https://sao.dolgi.msk.ru/account/1404251847/", 1404251847)</f>
        <v>1404251847</v>
      </c>
      <c r="D4756">
        <v>-5025.2299999999996</v>
      </c>
    </row>
    <row r="4757" spans="1:4" hidden="1" x14ac:dyDescent="0.25">
      <c r="A4757" t="s">
        <v>660</v>
      </c>
      <c r="B4757" t="s">
        <v>131</v>
      </c>
      <c r="C4757" s="2">
        <f>HYPERLINK("https://sao.dolgi.msk.ru/account/1404253703/", 1404253703)</f>
        <v>1404253703</v>
      </c>
      <c r="D4757">
        <v>-4612.3999999999996</v>
      </c>
    </row>
    <row r="4758" spans="1:4" x14ac:dyDescent="0.25">
      <c r="A4758" t="s">
        <v>660</v>
      </c>
      <c r="B4758" t="s">
        <v>132</v>
      </c>
      <c r="C4758" s="2">
        <f>HYPERLINK("https://sao.dolgi.msk.ru/account/1404252874/", 1404252874)</f>
        <v>1404252874</v>
      </c>
      <c r="D4758">
        <v>8477.41</v>
      </c>
    </row>
    <row r="4759" spans="1:4" hidden="1" x14ac:dyDescent="0.25">
      <c r="A4759" t="s">
        <v>660</v>
      </c>
      <c r="B4759" t="s">
        <v>133</v>
      </c>
      <c r="C4759" s="2">
        <f>HYPERLINK("https://sao.dolgi.msk.ru/account/1404252161/", 1404252161)</f>
        <v>1404252161</v>
      </c>
      <c r="D4759">
        <v>-5358.67</v>
      </c>
    </row>
    <row r="4760" spans="1:4" hidden="1" x14ac:dyDescent="0.25">
      <c r="A4760" t="s">
        <v>660</v>
      </c>
      <c r="B4760" t="s">
        <v>134</v>
      </c>
      <c r="C4760" s="2">
        <f>HYPERLINK("https://sao.dolgi.msk.ru/account/1404253711/", 1404253711)</f>
        <v>1404253711</v>
      </c>
      <c r="D4760">
        <v>-6914.28</v>
      </c>
    </row>
    <row r="4761" spans="1:4" hidden="1" x14ac:dyDescent="0.25">
      <c r="A4761" t="s">
        <v>660</v>
      </c>
      <c r="B4761" t="s">
        <v>135</v>
      </c>
      <c r="C4761" s="2">
        <f>HYPERLINK("https://sao.dolgi.msk.ru/account/1404252882/", 1404252882)</f>
        <v>1404252882</v>
      </c>
      <c r="D4761">
        <v>0</v>
      </c>
    </row>
    <row r="4762" spans="1:4" hidden="1" x14ac:dyDescent="0.25">
      <c r="A4762" t="s">
        <v>660</v>
      </c>
      <c r="B4762" t="s">
        <v>136</v>
      </c>
      <c r="C4762" s="2">
        <f>HYPERLINK("https://sao.dolgi.msk.ru/account/1404254044/", 1404254044)</f>
        <v>1404254044</v>
      </c>
      <c r="D4762">
        <v>-5963.2</v>
      </c>
    </row>
    <row r="4763" spans="1:4" hidden="1" x14ac:dyDescent="0.25">
      <c r="A4763" t="s">
        <v>660</v>
      </c>
      <c r="B4763" t="s">
        <v>137</v>
      </c>
      <c r="C4763" s="2">
        <f>HYPERLINK("https://sao.dolgi.msk.ru/account/1404253332/", 1404253332)</f>
        <v>1404253332</v>
      </c>
      <c r="D4763">
        <v>-4870.7</v>
      </c>
    </row>
    <row r="4764" spans="1:4" hidden="1" x14ac:dyDescent="0.25">
      <c r="A4764" t="s">
        <v>660</v>
      </c>
      <c r="B4764" t="s">
        <v>138</v>
      </c>
      <c r="C4764" s="2">
        <f>HYPERLINK("https://sao.dolgi.msk.ru/account/1404253359/", 1404253359)</f>
        <v>1404253359</v>
      </c>
      <c r="D4764">
        <v>0</v>
      </c>
    </row>
    <row r="4765" spans="1:4" hidden="1" x14ac:dyDescent="0.25">
      <c r="A4765" t="s">
        <v>660</v>
      </c>
      <c r="B4765" t="s">
        <v>139</v>
      </c>
      <c r="C4765" s="2">
        <f>HYPERLINK("https://sao.dolgi.msk.ru/account/1404251863/", 1404251863)</f>
        <v>1404251863</v>
      </c>
      <c r="D4765">
        <v>-5079.87</v>
      </c>
    </row>
    <row r="4766" spans="1:4" hidden="1" x14ac:dyDescent="0.25">
      <c r="A4766" t="s">
        <v>660</v>
      </c>
      <c r="B4766" t="s">
        <v>140</v>
      </c>
      <c r="C4766" s="2">
        <f>HYPERLINK("https://sao.dolgi.msk.ru/account/1404252479/", 1404252479)</f>
        <v>1404252479</v>
      </c>
      <c r="D4766">
        <v>-4730.13</v>
      </c>
    </row>
    <row r="4767" spans="1:4" hidden="1" x14ac:dyDescent="0.25">
      <c r="A4767" t="s">
        <v>660</v>
      </c>
      <c r="B4767" t="s">
        <v>141</v>
      </c>
      <c r="C4767" s="2">
        <f>HYPERLINK("https://sao.dolgi.msk.ru/account/1404252188/", 1404252188)</f>
        <v>1404252188</v>
      </c>
      <c r="D4767">
        <v>-6083.61</v>
      </c>
    </row>
    <row r="4768" spans="1:4" hidden="1" x14ac:dyDescent="0.25">
      <c r="A4768" t="s">
        <v>660</v>
      </c>
      <c r="B4768" t="s">
        <v>142</v>
      </c>
      <c r="C4768" s="2">
        <f>HYPERLINK("https://sao.dolgi.msk.ru/account/1404251871/", 1404251871)</f>
        <v>1404251871</v>
      </c>
      <c r="D4768">
        <v>0</v>
      </c>
    </row>
    <row r="4769" spans="1:4" hidden="1" x14ac:dyDescent="0.25">
      <c r="A4769" t="s">
        <v>660</v>
      </c>
      <c r="B4769" t="s">
        <v>143</v>
      </c>
      <c r="C4769" s="2">
        <f>HYPERLINK("https://sao.dolgi.msk.ru/account/1404254052/", 1404254052)</f>
        <v>1404254052</v>
      </c>
      <c r="D4769">
        <v>0</v>
      </c>
    </row>
    <row r="4770" spans="1:4" hidden="1" x14ac:dyDescent="0.25">
      <c r="A4770" t="s">
        <v>660</v>
      </c>
      <c r="B4770" t="s">
        <v>144</v>
      </c>
      <c r="C4770" s="2">
        <f>HYPERLINK("https://sao.dolgi.msk.ru/account/1404251644/", 1404251644)</f>
        <v>1404251644</v>
      </c>
      <c r="D4770">
        <v>-6336.9</v>
      </c>
    </row>
    <row r="4771" spans="1:4" hidden="1" x14ac:dyDescent="0.25">
      <c r="A4771" t="s">
        <v>660</v>
      </c>
      <c r="B4771" t="s">
        <v>145</v>
      </c>
      <c r="C4771" s="2">
        <f>HYPERLINK("https://sao.dolgi.msk.ru/account/1404252487/", 1404252487)</f>
        <v>1404252487</v>
      </c>
      <c r="D4771">
        <v>-6283.94</v>
      </c>
    </row>
    <row r="4772" spans="1:4" x14ac:dyDescent="0.25">
      <c r="A4772" t="s">
        <v>660</v>
      </c>
      <c r="B4772" t="s">
        <v>146</v>
      </c>
      <c r="C4772" s="2">
        <f>HYPERLINK("https://sao.dolgi.msk.ru/account/1404253738/", 1404253738)</f>
        <v>1404253738</v>
      </c>
      <c r="D4772">
        <v>4131</v>
      </c>
    </row>
    <row r="4773" spans="1:4" x14ac:dyDescent="0.25">
      <c r="A4773" t="s">
        <v>660</v>
      </c>
      <c r="B4773" t="s">
        <v>147</v>
      </c>
      <c r="C4773" s="2">
        <f>HYPERLINK("https://sao.dolgi.msk.ru/account/1404254183/", 1404254183)</f>
        <v>1404254183</v>
      </c>
      <c r="D4773">
        <v>838.33</v>
      </c>
    </row>
    <row r="4774" spans="1:4" hidden="1" x14ac:dyDescent="0.25">
      <c r="A4774" t="s">
        <v>660</v>
      </c>
      <c r="B4774" t="s">
        <v>148</v>
      </c>
      <c r="C4774" s="2">
        <f>HYPERLINK("https://sao.dolgi.msk.ru/account/1404254191/", 1404254191)</f>
        <v>1404254191</v>
      </c>
      <c r="D4774">
        <v>-4664.8599999999997</v>
      </c>
    </row>
    <row r="4775" spans="1:4" hidden="1" x14ac:dyDescent="0.25">
      <c r="A4775" t="s">
        <v>660</v>
      </c>
      <c r="B4775" t="s">
        <v>149</v>
      </c>
      <c r="C4775" s="2">
        <f>HYPERLINK("https://sao.dolgi.msk.ru/account/1404253594/", 1404253594)</f>
        <v>1404253594</v>
      </c>
      <c r="D4775">
        <v>0</v>
      </c>
    </row>
    <row r="4776" spans="1:4" hidden="1" x14ac:dyDescent="0.25">
      <c r="A4776" t="s">
        <v>660</v>
      </c>
      <c r="B4776" t="s">
        <v>150</v>
      </c>
      <c r="C4776" s="2">
        <f>HYPERLINK("https://sao.dolgi.msk.ru/account/1404254255/", 1404254255)</f>
        <v>1404254255</v>
      </c>
      <c r="D4776">
        <v>-3758.72</v>
      </c>
    </row>
    <row r="4777" spans="1:4" hidden="1" x14ac:dyDescent="0.25">
      <c r="A4777" t="s">
        <v>660</v>
      </c>
      <c r="B4777" t="s">
        <v>151</v>
      </c>
      <c r="C4777" s="2">
        <f>HYPERLINK("https://sao.dolgi.msk.ru/account/1404252372/", 1404252372)</f>
        <v>1404252372</v>
      </c>
      <c r="D4777">
        <v>-4761.43</v>
      </c>
    </row>
    <row r="4778" spans="1:4" hidden="1" x14ac:dyDescent="0.25">
      <c r="A4778" t="s">
        <v>660</v>
      </c>
      <c r="B4778" t="s">
        <v>152</v>
      </c>
      <c r="C4778" s="2">
        <f>HYPERLINK("https://sao.dolgi.msk.ru/account/1404252735/", 1404252735)</f>
        <v>1404252735</v>
      </c>
      <c r="D4778">
        <v>-7081.16</v>
      </c>
    </row>
    <row r="4779" spans="1:4" x14ac:dyDescent="0.25">
      <c r="A4779" t="s">
        <v>660</v>
      </c>
      <c r="B4779" t="s">
        <v>153</v>
      </c>
      <c r="C4779" s="2">
        <f>HYPERLINK("https://sao.dolgi.msk.ru/account/1404252743/", 1404252743)</f>
        <v>1404252743</v>
      </c>
      <c r="D4779">
        <v>19727.37</v>
      </c>
    </row>
    <row r="4780" spans="1:4" hidden="1" x14ac:dyDescent="0.25">
      <c r="A4780" t="s">
        <v>660</v>
      </c>
      <c r="B4780" t="s">
        <v>154</v>
      </c>
      <c r="C4780" s="2">
        <f>HYPERLINK("https://sao.dolgi.msk.ru/account/1404253607/", 1404253607)</f>
        <v>1404253607</v>
      </c>
      <c r="D4780">
        <v>-3162.03</v>
      </c>
    </row>
    <row r="4781" spans="1:4" hidden="1" x14ac:dyDescent="0.25">
      <c r="A4781" t="s">
        <v>660</v>
      </c>
      <c r="B4781" t="s">
        <v>155</v>
      </c>
      <c r="C4781" s="2">
        <f>HYPERLINK("https://sao.dolgi.msk.ru/account/1404252751/", 1404252751)</f>
        <v>1404252751</v>
      </c>
      <c r="D4781">
        <v>0</v>
      </c>
    </row>
    <row r="4782" spans="1:4" hidden="1" x14ac:dyDescent="0.25">
      <c r="A4782" t="s">
        <v>660</v>
      </c>
      <c r="B4782" t="s">
        <v>156</v>
      </c>
      <c r="C4782" s="2">
        <f>HYPERLINK("https://sao.dolgi.msk.ru/account/1404251791/", 1404251791)</f>
        <v>1404251791</v>
      </c>
      <c r="D4782">
        <v>-2442.39</v>
      </c>
    </row>
    <row r="4783" spans="1:4" hidden="1" x14ac:dyDescent="0.25">
      <c r="A4783" t="s">
        <v>660</v>
      </c>
      <c r="B4783" t="s">
        <v>157</v>
      </c>
      <c r="C4783" s="2">
        <f>HYPERLINK("https://sao.dolgi.msk.ru/account/1404253615/", 1404253615)</f>
        <v>1404253615</v>
      </c>
      <c r="D4783">
        <v>-3244.73</v>
      </c>
    </row>
    <row r="4784" spans="1:4" hidden="1" x14ac:dyDescent="0.25">
      <c r="A4784" t="s">
        <v>660</v>
      </c>
      <c r="B4784" t="s">
        <v>158</v>
      </c>
      <c r="C4784" s="2">
        <f>HYPERLINK("https://sao.dolgi.msk.ru/account/1404253906/", 1404253906)</f>
        <v>1404253906</v>
      </c>
      <c r="D4784">
        <v>0</v>
      </c>
    </row>
    <row r="4785" spans="1:4" hidden="1" x14ac:dyDescent="0.25">
      <c r="A4785" t="s">
        <v>660</v>
      </c>
      <c r="B4785" t="s">
        <v>159</v>
      </c>
      <c r="C4785" s="2">
        <f>HYPERLINK("https://sao.dolgi.msk.ru/account/1404253156/", 1404253156)</f>
        <v>1404253156</v>
      </c>
      <c r="D4785">
        <v>-3590.56</v>
      </c>
    </row>
    <row r="4786" spans="1:4" hidden="1" x14ac:dyDescent="0.25">
      <c r="A4786" t="s">
        <v>660</v>
      </c>
      <c r="B4786" t="s">
        <v>160</v>
      </c>
      <c r="C4786" s="2">
        <f>HYPERLINK("https://sao.dolgi.msk.ru/account/1404252778/", 1404252778)</f>
        <v>1404252778</v>
      </c>
      <c r="D4786">
        <v>0</v>
      </c>
    </row>
    <row r="4787" spans="1:4" x14ac:dyDescent="0.25">
      <c r="A4787" t="s">
        <v>660</v>
      </c>
      <c r="B4787" t="s">
        <v>161</v>
      </c>
      <c r="C4787" s="2">
        <f>HYPERLINK("https://sao.dolgi.msk.ru/account/1404251804/", 1404251804)</f>
        <v>1404251804</v>
      </c>
      <c r="D4787">
        <v>27368.32</v>
      </c>
    </row>
    <row r="4788" spans="1:4" x14ac:dyDescent="0.25">
      <c r="A4788" t="s">
        <v>660</v>
      </c>
      <c r="B4788" t="s">
        <v>162</v>
      </c>
      <c r="C4788" s="2">
        <f>HYPERLINK("https://sao.dolgi.msk.ru/account/1404252399/", 1404252399)</f>
        <v>1404252399</v>
      </c>
      <c r="D4788">
        <v>2903.96</v>
      </c>
    </row>
    <row r="4789" spans="1:4" hidden="1" x14ac:dyDescent="0.25">
      <c r="A4789" t="s">
        <v>660</v>
      </c>
      <c r="B4789" t="s">
        <v>163</v>
      </c>
      <c r="C4789" s="2">
        <f>HYPERLINK("https://sao.dolgi.msk.ru/account/1404253623/", 1404253623)</f>
        <v>1404253623</v>
      </c>
      <c r="D4789">
        <v>-2813.22</v>
      </c>
    </row>
    <row r="4790" spans="1:4" hidden="1" x14ac:dyDescent="0.25">
      <c r="A4790" t="s">
        <v>660</v>
      </c>
      <c r="B4790" t="s">
        <v>164</v>
      </c>
      <c r="C4790" s="2">
        <f>HYPERLINK("https://sao.dolgi.msk.ru/account/1404253914/", 1404253914)</f>
        <v>1404253914</v>
      </c>
      <c r="D4790">
        <v>-2487.84</v>
      </c>
    </row>
    <row r="4791" spans="1:4" hidden="1" x14ac:dyDescent="0.25">
      <c r="A4791" t="s">
        <v>660</v>
      </c>
      <c r="B4791" t="s">
        <v>165</v>
      </c>
      <c r="C4791" s="2">
        <f>HYPERLINK("https://sao.dolgi.msk.ru/account/1404254263/", 1404254263)</f>
        <v>1404254263</v>
      </c>
      <c r="D4791">
        <v>-1894.38</v>
      </c>
    </row>
    <row r="4792" spans="1:4" hidden="1" x14ac:dyDescent="0.25">
      <c r="A4792" t="s">
        <v>660</v>
      </c>
      <c r="B4792" t="s">
        <v>166</v>
      </c>
      <c r="C4792" s="2">
        <f>HYPERLINK("https://sao.dolgi.msk.ru/account/1404253658/", 1404253658)</f>
        <v>1404253658</v>
      </c>
      <c r="D4792">
        <v>-4392.3</v>
      </c>
    </row>
    <row r="4793" spans="1:4" hidden="1" x14ac:dyDescent="0.25">
      <c r="A4793" t="s">
        <v>660</v>
      </c>
      <c r="B4793" t="s">
        <v>167</v>
      </c>
      <c r="C4793" s="2">
        <f>HYPERLINK("https://sao.dolgi.msk.ru/account/1404252102/", 1404252102)</f>
        <v>1404252102</v>
      </c>
      <c r="D4793">
        <v>0</v>
      </c>
    </row>
    <row r="4794" spans="1:4" x14ac:dyDescent="0.25">
      <c r="A4794" t="s">
        <v>660</v>
      </c>
      <c r="B4794" t="s">
        <v>168</v>
      </c>
      <c r="C4794" s="2">
        <f>HYPERLINK("https://sao.dolgi.msk.ru/account/1404253922/", 1404253922)</f>
        <v>1404253922</v>
      </c>
      <c r="D4794">
        <v>1283.07</v>
      </c>
    </row>
    <row r="4795" spans="1:4" x14ac:dyDescent="0.25">
      <c r="A4795" t="s">
        <v>660</v>
      </c>
      <c r="B4795" t="s">
        <v>169</v>
      </c>
      <c r="C4795" s="2">
        <f>HYPERLINK("https://sao.dolgi.msk.ru/account/1404253164/", 1404253164)</f>
        <v>1404253164</v>
      </c>
      <c r="D4795">
        <v>13844.76</v>
      </c>
    </row>
    <row r="4796" spans="1:4" hidden="1" x14ac:dyDescent="0.25">
      <c r="A4796" t="s">
        <v>660</v>
      </c>
      <c r="B4796" t="s">
        <v>170</v>
      </c>
      <c r="C4796" s="2">
        <f>HYPERLINK("https://sao.dolgi.msk.ru/account/1404253172/", 1404253172)</f>
        <v>1404253172</v>
      </c>
      <c r="D4796">
        <v>-6198.9</v>
      </c>
    </row>
    <row r="4797" spans="1:4" x14ac:dyDescent="0.25">
      <c r="A4797" t="s">
        <v>660</v>
      </c>
      <c r="B4797" t="s">
        <v>171</v>
      </c>
      <c r="C4797" s="2">
        <f>HYPERLINK("https://sao.dolgi.msk.ru/account/1404254271/", 1404254271)</f>
        <v>1404254271</v>
      </c>
      <c r="D4797">
        <v>21125.54</v>
      </c>
    </row>
    <row r="4798" spans="1:4" hidden="1" x14ac:dyDescent="0.25">
      <c r="A4798" t="s">
        <v>660</v>
      </c>
      <c r="B4798" t="s">
        <v>172</v>
      </c>
      <c r="C4798" s="2">
        <f>HYPERLINK("https://sao.dolgi.msk.ru/account/1404253199/", 1404253199)</f>
        <v>1404253199</v>
      </c>
      <c r="D4798">
        <v>-2074.39</v>
      </c>
    </row>
    <row r="4799" spans="1:4" hidden="1" x14ac:dyDescent="0.25">
      <c r="A4799" t="s">
        <v>660</v>
      </c>
      <c r="B4799" t="s">
        <v>173</v>
      </c>
      <c r="C4799" s="2">
        <f>HYPERLINK("https://sao.dolgi.msk.ru/account/1404252786/", 1404252786)</f>
        <v>1404252786</v>
      </c>
      <c r="D4799">
        <v>0</v>
      </c>
    </row>
    <row r="4800" spans="1:4" hidden="1" x14ac:dyDescent="0.25">
      <c r="A4800" t="s">
        <v>660</v>
      </c>
      <c r="B4800" t="s">
        <v>174</v>
      </c>
      <c r="C4800" s="2">
        <f>HYPERLINK("https://sao.dolgi.msk.ru/account/1404253201/", 1404253201)</f>
        <v>1404253201</v>
      </c>
      <c r="D4800">
        <v>0</v>
      </c>
    </row>
    <row r="4801" spans="1:4" hidden="1" x14ac:dyDescent="0.25">
      <c r="A4801" t="s">
        <v>660</v>
      </c>
      <c r="B4801" t="s">
        <v>175</v>
      </c>
      <c r="C4801" s="2">
        <f>HYPERLINK("https://sao.dolgi.msk.ru/account/1404253228/", 1404253228)</f>
        <v>1404253228</v>
      </c>
      <c r="D4801">
        <v>-5028.47</v>
      </c>
    </row>
    <row r="4802" spans="1:4" x14ac:dyDescent="0.25">
      <c r="A4802" t="s">
        <v>660</v>
      </c>
      <c r="B4802" t="s">
        <v>176</v>
      </c>
      <c r="C4802" s="2">
        <f>HYPERLINK("https://sao.dolgi.msk.ru/account/1404253949/", 1404253949)</f>
        <v>1404253949</v>
      </c>
      <c r="D4802">
        <v>31756.05</v>
      </c>
    </row>
    <row r="4803" spans="1:4" hidden="1" x14ac:dyDescent="0.25">
      <c r="A4803" t="s">
        <v>660</v>
      </c>
      <c r="B4803" t="s">
        <v>177</v>
      </c>
      <c r="C4803" s="2">
        <f>HYPERLINK("https://sao.dolgi.msk.ru/account/1404253957/", 1404253957)</f>
        <v>1404253957</v>
      </c>
      <c r="D4803">
        <v>0</v>
      </c>
    </row>
    <row r="4804" spans="1:4" hidden="1" x14ac:dyDescent="0.25">
      <c r="A4804" t="s">
        <v>660</v>
      </c>
      <c r="B4804" t="s">
        <v>178</v>
      </c>
      <c r="C4804" s="2">
        <f>HYPERLINK("https://sao.dolgi.msk.ru/account/1404254298/", 1404254298)</f>
        <v>1404254298</v>
      </c>
      <c r="D4804">
        <v>0</v>
      </c>
    </row>
    <row r="4805" spans="1:4" hidden="1" x14ac:dyDescent="0.25">
      <c r="A4805" t="s">
        <v>660</v>
      </c>
      <c r="B4805" t="s">
        <v>179</v>
      </c>
      <c r="C4805" s="2">
        <f>HYPERLINK("https://sao.dolgi.msk.ru/account/1404252794/", 1404252794)</f>
        <v>1404252794</v>
      </c>
      <c r="D4805">
        <v>-6884.93</v>
      </c>
    </row>
    <row r="4806" spans="1:4" hidden="1" x14ac:dyDescent="0.25">
      <c r="A4806" t="s">
        <v>660</v>
      </c>
      <c r="B4806" t="s">
        <v>180</v>
      </c>
      <c r="C4806" s="2">
        <f>HYPERLINK("https://sao.dolgi.msk.ru/account/1404253236/", 1404253236)</f>
        <v>1404253236</v>
      </c>
      <c r="D4806">
        <v>-5847.27</v>
      </c>
    </row>
    <row r="4807" spans="1:4" hidden="1" x14ac:dyDescent="0.25">
      <c r="A4807" t="s">
        <v>660</v>
      </c>
      <c r="B4807" t="s">
        <v>181</v>
      </c>
      <c r="C4807" s="2">
        <f>HYPERLINK("https://sao.dolgi.msk.ru/account/1404253965/", 1404253965)</f>
        <v>1404253965</v>
      </c>
      <c r="D4807">
        <v>-1688.8</v>
      </c>
    </row>
    <row r="4808" spans="1:4" hidden="1" x14ac:dyDescent="0.25">
      <c r="A4808" t="s">
        <v>660</v>
      </c>
      <c r="B4808" t="s">
        <v>182</v>
      </c>
      <c r="C4808" s="2">
        <f>HYPERLINK("https://sao.dolgi.msk.ru/account/1404252807/", 1404252807)</f>
        <v>1404252807</v>
      </c>
      <c r="D4808">
        <v>-3089.74</v>
      </c>
    </row>
    <row r="4809" spans="1:4" hidden="1" x14ac:dyDescent="0.25">
      <c r="A4809" t="s">
        <v>660</v>
      </c>
      <c r="B4809" t="s">
        <v>183</v>
      </c>
      <c r="C4809" s="2">
        <f>HYPERLINK("https://sao.dolgi.msk.ru/account/1404253244/", 1404253244)</f>
        <v>1404253244</v>
      </c>
      <c r="D4809">
        <v>-239.48</v>
      </c>
    </row>
    <row r="4810" spans="1:4" hidden="1" x14ac:dyDescent="0.25">
      <c r="A4810" t="s">
        <v>660</v>
      </c>
      <c r="B4810" t="s">
        <v>184</v>
      </c>
      <c r="C4810" s="2">
        <f>HYPERLINK("https://sao.dolgi.msk.ru/account/1404252137/", 1404252137)</f>
        <v>1404252137</v>
      </c>
      <c r="D4810">
        <v>-5072.05</v>
      </c>
    </row>
    <row r="4811" spans="1:4" hidden="1" x14ac:dyDescent="0.25">
      <c r="A4811" t="s">
        <v>660</v>
      </c>
      <c r="B4811" t="s">
        <v>185</v>
      </c>
      <c r="C4811" s="2">
        <f>HYPERLINK("https://sao.dolgi.msk.ru/account/1404253973/", 1404253973)</f>
        <v>1404253973</v>
      </c>
      <c r="D4811">
        <v>0</v>
      </c>
    </row>
    <row r="4812" spans="1:4" x14ac:dyDescent="0.25">
      <c r="A4812" t="s">
        <v>660</v>
      </c>
      <c r="B4812" t="s">
        <v>186</v>
      </c>
      <c r="C4812" s="2">
        <f>HYPERLINK("https://sao.dolgi.msk.ru/account/1404253666/", 1404253666)</f>
        <v>1404253666</v>
      </c>
      <c r="D4812">
        <v>10737.66</v>
      </c>
    </row>
    <row r="4813" spans="1:4" x14ac:dyDescent="0.25">
      <c r="A4813" t="s">
        <v>660</v>
      </c>
      <c r="B4813" t="s">
        <v>187</v>
      </c>
      <c r="C4813" s="2">
        <f>HYPERLINK("https://sao.dolgi.msk.ru/account/1404253375/", 1404253375)</f>
        <v>1404253375</v>
      </c>
      <c r="D4813">
        <v>23509.88</v>
      </c>
    </row>
    <row r="4814" spans="1:4" hidden="1" x14ac:dyDescent="0.25">
      <c r="A4814" t="s">
        <v>660</v>
      </c>
      <c r="B4814" t="s">
        <v>188</v>
      </c>
      <c r="C4814" s="2">
        <f>HYPERLINK("https://sao.dolgi.msk.ru/account/1404252313/", 1404252313)</f>
        <v>1404252313</v>
      </c>
      <c r="D4814">
        <v>0</v>
      </c>
    </row>
    <row r="4815" spans="1:4" hidden="1" x14ac:dyDescent="0.25">
      <c r="A4815" t="s">
        <v>660</v>
      </c>
      <c r="B4815" t="s">
        <v>189</v>
      </c>
      <c r="C4815" s="2">
        <f>HYPERLINK("https://sao.dolgi.msk.ru/account/1404252639/", 1404252639)</f>
        <v>1404252639</v>
      </c>
      <c r="D4815">
        <v>0</v>
      </c>
    </row>
    <row r="4816" spans="1:4" hidden="1" x14ac:dyDescent="0.25">
      <c r="A4816" t="s">
        <v>660</v>
      </c>
      <c r="B4816" t="s">
        <v>190</v>
      </c>
      <c r="C4816" s="2">
        <f>HYPERLINK("https://sao.dolgi.msk.ru/account/1404252647/", 1404252647)</f>
        <v>1404252647</v>
      </c>
      <c r="D4816">
        <v>-4752.62</v>
      </c>
    </row>
    <row r="4817" spans="1:4" x14ac:dyDescent="0.25">
      <c r="A4817" t="s">
        <v>660</v>
      </c>
      <c r="B4817" t="s">
        <v>191</v>
      </c>
      <c r="C4817" s="2">
        <f>HYPERLINK("https://sao.dolgi.msk.ru/account/1404253113/", 1404253113)</f>
        <v>1404253113</v>
      </c>
      <c r="D4817">
        <v>4759.66</v>
      </c>
    </row>
    <row r="4818" spans="1:4" hidden="1" x14ac:dyDescent="0.25">
      <c r="A4818" t="s">
        <v>660</v>
      </c>
      <c r="B4818" t="s">
        <v>192</v>
      </c>
      <c r="C4818" s="2">
        <f>HYPERLINK("https://sao.dolgi.msk.ru/account/1404252321/", 1404252321)</f>
        <v>1404252321</v>
      </c>
      <c r="D4818">
        <v>-4462</v>
      </c>
    </row>
    <row r="4819" spans="1:4" hidden="1" x14ac:dyDescent="0.25">
      <c r="A4819" t="s">
        <v>660</v>
      </c>
      <c r="B4819" t="s">
        <v>192</v>
      </c>
      <c r="C4819" s="2">
        <f>HYPERLINK("https://sao.dolgi.msk.ru/account/1404253885/", 1404253885)</f>
        <v>1404253885</v>
      </c>
      <c r="D4819">
        <v>-3735.95</v>
      </c>
    </row>
    <row r="4820" spans="1:4" x14ac:dyDescent="0.25">
      <c r="A4820" t="s">
        <v>660</v>
      </c>
      <c r="B4820" t="s">
        <v>193</v>
      </c>
      <c r="C4820" s="2">
        <f>HYPERLINK("https://sao.dolgi.msk.ru/account/1404252655/", 1404252655)</f>
        <v>1404252655</v>
      </c>
      <c r="D4820">
        <v>62081.73</v>
      </c>
    </row>
    <row r="4821" spans="1:4" hidden="1" x14ac:dyDescent="0.25">
      <c r="A4821" t="s">
        <v>660</v>
      </c>
      <c r="B4821" t="s">
        <v>194</v>
      </c>
      <c r="C4821" s="2">
        <f>HYPERLINK("https://sao.dolgi.msk.ru/account/1404251783/", 1404251783)</f>
        <v>1404251783</v>
      </c>
      <c r="D4821">
        <v>0</v>
      </c>
    </row>
    <row r="4822" spans="1:4" x14ac:dyDescent="0.25">
      <c r="A4822" t="s">
        <v>660</v>
      </c>
      <c r="B4822" t="s">
        <v>195</v>
      </c>
      <c r="C4822" s="2">
        <f>HYPERLINK("https://sao.dolgi.msk.ru/account/1404252356/", 1404252356)</f>
        <v>1404252356</v>
      </c>
      <c r="D4822">
        <v>91534.93</v>
      </c>
    </row>
    <row r="4823" spans="1:4" hidden="1" x14ac:dyDescent="0.25">
      <c r="A4823" t="s">
        <v>660</v>
      </c>
      <c r="B4823" t="s">
        <v>196</v>
      </c>
      <c r="C4823" s="2">
        <f>HYPERLINK("https://sao.dolgi.msk.ru/account/1404254239/", 1404254239)</f>
        <v>1404254239</v>
      </c>
      <c r="D4823">
        <v>-6300.22</v>
      </c>
    </row>
    <row r="4824" spans="1:4" x14ac:dyDescent="0.25">
      <c r="A4824" t="s">
        <v>660</v>
      </c>
      <c r="B4824" t="s">
        <v>197</v>
      </c>
      <c r="C4824" s="2">
        <f>HYPERLINK("https://sao.dolgi.msk.ru/account/1404253025/", 1404253025)</f>
        <v>1404253025</v>
      </c>
      <c r="D4824">
        <v>7166.7</v>
      </c>
    </row>
    <row r="4825" spans="1:4" x14ac:dyDescent="0.25">
      <c r="A4825" t="s">
        <v>660</v>
      </c>
      <c r="B4825" t="s">
        <v>197</v>
      </c>
      <c r="C4825" s="2">
        <f>HYPERLINK("https://sao.dolgi.msk.ru/account/1404253543/", 1404253543)</f>
        <v>1404253543</v>
      </c>
      <c r="D4825">
        <v>5677.64</v>
      </c>
    </row>
    <row r="4826" spans="1:4" hidden="1" x14ac:dyDescent="0.25">
      <c r="A4826" t="s">
        <v>660</v>
      </c>
      <c r="B4826" t="s">
        <v>198</v>
      </c>
      <c r="C4826" s="2">
        <f>HYPERLINK("https://sao.dolgi.msk.ru/account/1404252057/", 1404252057)</f>
        <v>1404252057</v>
      </c>
      <c r="D4826">
        <v>0</v>
      </c>
    </row>
    <row r="4827" spans="1:4" hidden="1" x14ac:dyDescent="0.25">
      <c r="A4827" t="s">
        <v>660</v>
      </c>
      <c r="B4827" t="s">
        <v>199</v>
      </c>
      <c r="C4827" s="2">
        <f>HYPERLINK("https://sao.dolgi.msk.ru/account/1404252065/", 1404252065)</f>
        <v>1404252065</v>
      </c>
      <c r="D4827">
        <v>0</v>
      </c>
    </row>
    <row r="4828" spans="1:4" hidden="1" x14ac:dyDescent="0.25">
      <c r="A4828" t="s">
        <v>660</v>
      </c>
      <c r="B4828" t="s">
        <v>200</v>
      </c>
      <c r="C4828" s="2">
        <f>HYPERLINK("https://sao.dolgi.msk.ru/account/1404252663/", 1404252663)</f>
        <v>1404252663</v>
      </c>
      <c r="D4828">
        <v>-7040.29</v>
      </c>
    </row>
    <row r="4829" spans="1:4" hidden="1" x14ac:dyDescent="0.25">
      <c r="A4829" t="s">
        <v>660</v>
      </c>
      <c r="B4829" t="s">
        <v>201</v>
      </c>
      <c r="C4829" s="2">
        <f>HYPERLINK("https://sao.dolgi.msk.ru/account/1404252671/", 1404252671)</f>
        <v>1404252671</v>
      </c>
      <c r="D4829">
        <v>-370.45</v>
      </c>
    </row>
    <row r="4830" spans="1:4" x14ac:dyDescent="0.25">
      <c r="A4830" t="s">
        <v>660</v>
      </c>
      <c r="B4830" t="s">
        <v>202</v>
      </c>
      <c r="C4830" s="2">
        <f>HYPERLINK("https://sao.dolgi.msk.ru/account/1404252073/", 1404252073)</f>
        <v>1404252073</v>
      </c>
      <c r="D4830">
        <v>296.08</v>
      </c>
    </row>
    <row r="4831" spans="1:4" x14ac:dyDescent="0.25">
      <c r="A4831" t="s">
        <v>660</v>
      </c>
      <c r="B4831" t="s">
        <v>203</v>
      </c>
      <c r="C4831" s="2">
        <f>HYPERLINK("https://sao.dolgi.msk.ru/account/1404254247/", 1404254247)</f>
        <v>1404254247</v>
      </c>
      <c r="D4831">
        <v>855.2</v>
      </c>
    </row>
    <row r="4832" spans="1:4" hidden="1" x14ac:dyDescent="0.25">
      <c r="A4832" t="s">
        <v>660</v>
      </c>
      <c r="B4832" t="s">
        <v>204</v>
      </c>
      <c r="C4832" s="2">
        <f>HYPERLINK("https://sao.dolgi.msk.ru/account/1404252364/", 1404252364)</f>
        <v>1404252364</v>
      </c>
      <c r="D4832">
        <v>-2516.41</v>
      </c>
    </row>
    <row r="4833" spans="1:4" hidden="1" x14ac:dyDescent="0.25">
      <c r="A4833" t="s">
        <v>660</v>
      </c>
      <c r="B4833" t="s">
        <v>205</v>
      </c>
      <c r="C4833" s="2">
        <f>HYPERLINK("https://sao.dolgi.msk.ru/account/1404253578/", 1404253578)</f>
        <v>1404253578</v>
      </c>
      <c r="D4833">
        <v>-6071.53</v>
      </c>
    </row>
    <row r="4834" spans="1:4" hidden="1" x14ac:dyDescent="0.25">
      <c r="A4834" t="s">
        <v>660</v>
      </c>
      <c r="B4834" t="s">
        <v>206</v>
      </c>
      <c r="C4834" s="2">
        <f>HYPERLINK("https://sao.dolgi.msk.ru/account/1404253121/", 1404253121)</f>
        <v>1404253121</v>
      </c>
      <c r="D4834">
        <v>-7029.39</v>
      </c>
    </row>
    <row r="4835" spans="1:4" hidden="1" x14ac:dyDescent="0.25">
      <c r="A4835" t="s">
        <v>660</v>
      </c>
      <c r="B4835" t="s">
        <v>207</v>
      </c>
      <c r="C4835" s="2">
        <f>HYPERLINK("https://sao.dolgi.msk.ru/account/1404252698/", 1404252698)</f>
        <v>1404252698</v>
      </c>
      <c r="D4835">
        <v>-5820.33</v>
      </c>
    </row>
    <row r="4836" spans="1:4" hidden="1" x14ac:dyDescent="0.25">
      <c r="A4836" t="s">
        <v>660</v>
      </c>
      <c r="B4836" t="s">
        <v>208</v>
      </c>
      <c r="C4836" s="2">
        <f>HYPERLINK("https://sao.dolgi.msk.ru/account/1404252719/", 1404252719)</f>
        <v>1404252719</v>
      </c>
      <c r="D4836">
        <v>-2005.81</v>
      </c>
    </row>
    <row r="4837" spans="1:4" hidden="1" x14ac:dyDescent="0.25">
      <c r="A4837" t="s">
        <v>660</v>
      </c>
      <c r="B4837" t="s">
        <v>209</v>
      </c>
      <c r="C4837" s="2">
        <f>HYPERLINK("https://sao.dolgi.msk.ru/account/1404252727/", 1404252727)</f>
        <v>1404252727</v>
      </c>
      <c r="D4837">
        <v>0</v>
      </c>
    </row>
    <row r="4838" spans="1:4" hidden="1" x14ac:dyDescent="0.25">
      <c r="A4838" t="s">
        <v>660</v>
      </c>
      <c r="B4838" t="s">
        <v>210</v>
      </c>
      <c r="C4838" s="2">
        <f>HYPERLINK("https://sao.dolgi.msk.ru/account/1404253586/", 1404253586)</f>
        <v>1404253586</v>
      </c>
      <c r="D4838">
        <v>-4038.49</v>
      </c>
    </row>
    <row r="4839" spans="1:4" hidden="1" x14ac:dyDescent="0.25">
      <c r="A4839" t="s">
        <v>660</v>
      </c>
      <c r="B4839" t="s">
        <v>211</v>
      </c>
      <c r="C4839" s="2">
        <f>HYPERLINK("https://sao.dolgi.msk.ru/account/1404253148/", 1404253148)</f>
        <v>1404253148</v>
      </c>
      <c r="D4839">
        <v>0</v>
      </c>
    </row>
    <row r="4840" spans="1:4" x14ac:dyDescent="0.25">
      <c r="A4840" t="s">
        <v>660</v>
      </c>
      <c r="B4840" t="s">
        <v>212</v>
      </c>
      <c r="C4840" s="2">
        <f>HYPERLINK("https://sao.dolgi.msk.ru/account/1404252612/", 1404252612)</f>
        <v>1404252612</v>
      </c>
      <c r="D4840">
        <v>17283.009999999998</v>
      </c>
    </row>
    <row r="4841" spans="1:4" hidden="1" x14ac:dyDescent="0.25">
      <c r="A4841" t="s">
        <v>660</v>
      </c>
      <c r="B4841" t="s">
        <v>213</v>
      </c>
      <c r="C4841" s="2">
        <f>HYPERLINK("https://sao.dolgi.msk.ru/account/1404253092/", 1404253092)</f>
        <v>1404253092</v>
      </c>
      <c r="D4841">
        <v>-4241.5600000000004</v>
      </c>
    </row>
    <row r="4842" spans="1:4" hidden="1" x14ac:dyDescent="0.25">
      <c r="A4842" t="s">
        <v>660</v>
      </c>
      <c r="B4842" t="s">
        <v>214</v>
      </c>
      <c r="C4842" s="2">
        <f>HYPERLINK("https://sao.dolgi.msk.ru/account/1404253869/", 1404253869)</f>
        <v>1404253869</v>
      </c>
      <c r="D4842">
        <v>-6004.6</v>
      </c>
    </row>
    <row r="4843" spans="1:4" hidden="1" x14ac:dyDescent="0.25">
      <c r="A4843" t="s">
        <v>660</v>
      </c>
      <c r="B4843" t="s">
        <v>215</v>
      </c>
      <c r="C4843" s="2">
        <f>HYPERLINK("https://sao.dolgi.msk.ru/account/1404252022/", 1404252022)</f>
        <v>1404252022</v>
      </c>
      <c r="D4843">
        <v>-5101.16</v>
      </c>
    </row>
    <row r="4844" spans="1:4" hidden="1" x14ac:dyDescent="0.25">
      <c r="A4844" t="s">
        <v>660</v>
      </c>
      <c r="B4844" t="s">
        <v>216</v>
      </c>
      <c r="C4844" s="2">
        <f>HYPERLINK("https://sao.dolgi.msk.ru/account/1404253535/", 1404253535)</f>
        <v>1404253535</v>
      </c>
      <c r="D4844">
        <v>-3797.23</v>
      </c>
    </row>
    <row r="4845" spans="1:4" x14ac:dyDescent="0.25">
      <c r="A4845" t="s">
        <v>660</v>
      </c>
      <c r="B4845" t="s">
        <v>217</v>
      </c>
      <c r="C4845" s="2">
        <f>HYPERLINK("https://sao.dolgi.msk.ru/account/1404253877/", 1404253877)</f>
        <v>1404253877</v>
      </c>
      <c r="D4845">
        <v>4679.67</v>
      </c>
    </row>
    <row r="4846" spans="1:4" hidden="1" x14ac:dyDescent="0.25">
      <c r="A4846" t="s">
        <v>660</v>
      </c>
      <c r="B4846" t="s">
        <v>218</v>
      </c>
      <c r="C4846" s="2">
        <f>HYPERLINK("https://sao.dolgi.msk.ru/account/1404252305/", 1404252305)</f>
        <v>1404252305</v>
      </c>
      <c r="D4846">
        <v>-13593.49</v>
      </c>
    </row>
    <row r="4847" spans="1:4" hidden="1" x14ac:dyDescent="0.25">
      <c r="A4847" t="s">
        <v>661</v>
      </c>
      <c r="B4847" t="s">
        <v>5</v>
      </c>
      <c r="C4847" s="2">
        <f>HYPERLINK("https://sao.dolgi.msk.ru/account/1404256381/", 1404256381)</f>
        <v>1404256381</v>
      </c>
      <c r="D4847">
        <v>0</v>
      </c>
    </row>
    <row r="4848" spans="1:4" hidden="1" x14ac:dyDescent="0.25">
      <c r="A4848" t="s">
        <v>661</v>
      </c>
      <c r="B4848" t="s">
        <v>6</v>
      </c>
      <c r="C4848" s="2">
        <f>HYPERLINK("https://sao.dolgi.msk.ru/account/1404255127/", 1404255127)</f>
        <v>1404255127</v>
      </c>
      <c r="D4848">
        <v>-4232.84</v>
      </c>
    </row>
    <row r="4849" spans="1:4" x14ac:dyDescent="0.25">
      <c r="A4849" t="s">
        <v>661</v>
      </c>
      <c r="B4849" t="s">
        <v>7</v>
      </c>
      <c r="C4849" s="2">
        <f>HYPERLINK("https://sao.dolgi.msk.ru/account/1404256293/", 1404256293)</f>
        <v>1404256293</v>
      </c>
      <c r="D4849">
        <v>38424.75</v>
      </c>
    </row>
    <row r="4850" spans="1:4" hidden="1" x14ac:dyDescent="0.25">
      <c r="A4850" t="s">
        <v>661</v>
      </c>
      <c r="B4850" t="s">
        <v>8</v>
      </c>
      <c r="C4850" s="2">
        <f>HYPERLINK("https://sao.dolgi.msk.ru/account/1404255266/", 1404255266)</f>
        <v>1404255266</v>
      </c>
      <c r="D4850">
        <v>0</v>
      </c>
    </row>
    <row r="4851" spans="1:4" hidden="1" x14ac:dyDescent="0.25">
      <c r="A4851" t="s">
        <v>661</v>
      </c>
      <c r="B4851" t="s">
        <v>9</v>
      </c>
      <c r="C4851" s="2">
        <f>HYPERLINK("https://sao.dolgi.msk.ru/account/1404256891/", 1404256891)</f>
        <v>1404256891</v>
      </c>
      <c r="D4851">
        <v>0</v>
      </c>
    </row>
    <row r="4852" spans="1:4" hidden="1" x14ac:dyDescent="0.25">
      <c r="A4852" t="s">
        <v>661</v>
      </c>
      <c r="B4852" t="s">
        <v>10</v>
      </c>
      <c r="C4852" s="2">
        <f>HYPERLINK("https://sao.dolgi.msk.ru/account/1404255688/", 1404255688)</f>
        <v>1404255688</v>
      </c>
      <c r="D4852">
        <v>-5732.13</v>
      </c>
    </row>
    <row r="4853" spans="1:4" hidden="1" x14ac:dyDescent="0.25">
      <c r="A4853" t="s">
        <v>661</v>
      </c>
      <c r="B4853" t="s">
        <v>11</v>
      </c>
      <c r="C4853" s="2">
        <f>HYPERLINK("https://sao.dolgi.msk.ru/account/1404256189/", 1404256189)</f>
        <v>1404256189</v>
      </c>
      <c r="D4853">
        <v>0</v>
      </c>
    </row>
    <row r="4854" spans="1:4" hidden="1" x14ac:dyDescent="0.25">
      <c r="A4854" t="s">
        <v>661</v>
      </c>
      <c r="B4854" t="s">
        <v>12</v>
      </c>
      <c r="C4854" s="2">
        <f>HYPERLINK("https://sao.dolgi.msk.ru/account/1404255733/", 1404255733)</f>
        <v>1404255733</v>
      </c>
      <c r="D4854">
        <v>0</v>
      </c>
    </row>
    <row r="4855" spans="1:4" hidden="1" x14ac:dyDescent="0.25">
      <c r="A4855" t="s">
        <v>661</v>
      </c>
      <c r="B4855" t="s">
        <v>13</v>
      </c>
      <c r="C4855" s="2">
        <f>HYPERLINK("https://sao.dolgi.msk.ru/account/1404256357/", 1404256357)</f>
        <v>1404256357</v>
      </c>
      <c r="D4855">
        <v>-9322.56</v>
      </c>
    </row>
    <row r="4856" spans="1:4" hidden="1" x14ac:dyDescent="0.25">
      <c r="A4856" t="s">
        <v>661</v>
      </c>
      <c r="B4856" t="s">
        <v>14</v>
      </c>
      <c r="C4856" s="2">
        <f>HYPERLINK("https://sao.dolgi.msk.ru/account/1404254781/", 1404254781)</f>
        <v>1404254781</v>
      </c>
      <c r="D4856">
        <v>-3223.12</v>
      </c>
    </row>
    <row r="4857" spans="1:4" hidden="1" x14ac:dyDescent="0.25">
      <c r="A4857" t="s">
        <v>661</v>
      </c>
      <c r="B4857" t="s">
        <v>15</v>
      </c>
      <c r="C4857" s="2">
        <f>HYPERLINK("https://sao.dolgi.msk.ru/account/1404256269/", 1404256269)</f>
        <v>1404256269</v>
      </c>
      <c r="D4857">
        <v>-9236</v>
      </c>
    </row>
    <row r="4858" spans="1:4" hidden="1" x14ac:dyDescent="0.25">
      <c r="A4858" t="s">
        <v>661</v>
      </c>
      <c r="B4858" t="s">
        <v>16</v>
      </c>
      <c r="C4858" s="2">
        <f>HYPERLINK("https://sao.dolgi.msk.ru/account/1404256656/", 1404256656)</f>
        <v>1404256656</v>
      </c>
      <c r="D4858">
        <v>-8919.9599999999991</v>
      </c>
    </row>
    <row r="4859" spans="1:4" hidden="1" x14ac:dyDescent="0.25">
      <c r="A4859" t="s">
        <v>661</v>
      </c>
      <c r="B4859" t="s">
        <v>17</v>
      </c>
      <c r="C4859" s="2">
        <f>HYPERLINK("https://sao.dolgi.msk.ru/account/1404254386/", 1404254386)</f>
        <v>1404254386</v>
      </c>
      <c r="D4859">
        <v>-7086.65</v>
      </c>
    </row>
    <row r="4860" spans="1:4" hidden="1" x14ac:dyDescent="0.25">
      <c r="A4860" t="s">
        <v>661</v>
      </c>
      <c r="B4860" t="s">
        <v>18</v>
      </c>
      <c r="C4860" s="2">
        <f>HYPERLINK("https://sao.dolgi.msk.ru/account/1404255346/", 1404255346)</f>
        <v>1404255346</v>
      </c>
      <c r="D4860">
        <v>-4537.74</v>
      </c>
    </row>
    <row r="4861" spans="1:4" hidden="1" x14ac:dyDescent="0.25">
      <c r="A4861" t="s">
        <v>661</v>
      </c>
      <c r="B4861" t="s">
        <v>19</v>
      </c>
      <c r="C4861" s="2">
        <f>HYPERLINK("https://sao.dolgi.msk.ru/account/1404256488/", 1404256488)</f>
        <v>1404256488</v>
      </c>
      <c r="D4861">
        <v>-4234.18</v>
      </c>
    </row>
    <row r="4862" spans="1:4" hidden="1" x14ac:dyDescent="0.25">
      <c r="A4862" t="s">
        <v>661</v>
      </c>
      <c r="B4862" t="s">
        <v>20</v>
      </c>
      <c r="C4862" s="2">
        <f>HYPERLINK("https://sao.dolgi.msk.ru/account/1404255856/", 1404255856)</f>
        <v>1404255856</v>
      </c>
      <c r="D4862">
        <v>-7452.74</v>
      </c>
    </row>
    <row r="4863" spans="1:4" hidden="1" x14ac:dyDescent="0.25">
      <c r="A4863" t="s">
        <v>661</v>
      </c>
      <c r="B4863" t="s">
        <v>21</v>
      </c>
      <c r="C4863" s="2">
        <f>HYPERLINK("https://sao.dolgi.msk.ru/account/1404254757/", 1404254757)</f>
        <v>1404254757</v>
      </c>
      <c r="D4863">
        <v>0</v>
      </c>
    </row>
    <row r="4864" spans="1:4" x14ac:dyDescent="0.25">
      <c r="A4864" t="s">
        <v>661</v>
      </c>
      <c r="B4864" t="s">
        <v>22</v>
      </c>
      <c r="C4864" s="2">
        <f>HYPERLINK("https://sao.dolgi.msk.ru/account/1404255012/", 1404255012)</f>
        <v>1404255012</v>
      </c>
      <c r="D4864">
        <v>948.44</v>
      </c>
    </row>
    <row r="4865" spans="1:4" hidden="1" x14ac:dyDescent="0.25">
      <c r="A4865" t="s">
        <v>661</v>
      </c>
      <c r="B4865" t="s">
        <v>23</v>
      </c>
      <c r="C4865" s="2">
        <f>HYPERLINK("https://sao.dolgi.msk.ru/account/1404255776/", 1404255776)</f>
        <v>1404255776</v>
      </c>
      <c r="D4865">
        <v>-5025.18</v>
      </c>
    </row>
    <row r="4866" spans="1:4" hidden="1" x14ac:dyDescent="0.25">
      <c r="A4866" t="s">
        <v>661</v>
      </c>
      <c r="B4866" t="s">
        <v>24</v>
      </c>
      <c r="C4866" s="2">
        <f>HYPERLINK("https://sao.dolgi.msk.ru/account/1404256808/", 1404256808)</f>
        <v>1404256808</v>
      </c>
      <c r="D4866">
        <v>-8480.66</v>
      </c>
    </row>
    <row r="4867" spans="1:4" hidden="1" x14ac:dyDescent="0.25">
      <c r="A4867" t="s">
        <v>661</v>
      </c>
      <c r="B4867" t="s">
        <v>25</v>
      </c>
      <c r="C4867" s="2">
        <f>HYPERLINK("https://sao.dolgi.msk.ru/account/1404255506/", 1404255506)</f>
        <v>1404255506</v>
      </c>
      <c r="D4867">
        <v>-4412.4399999999996</v>
      </c>
    </row>
    <row r="4868" spans="1:4" hidden="1" x14ac:dyDescent="0.25">
      <c r="A4868" t="s">
        <v>661</v>
      </c>
      <c r="B4868" t="s">
        <v>26</v>
      </c>
      <c r="C4868" s="2">
        <f>HYPERLINK("https://sao.dolgi.msk.ru/account/1404255813/", 1404255813)</f>
        <v>1404255813</v>
      </c>
      <c r="D4868">
        <v>0</v>
      </c>
    </row>
    <row r="4869" spans="1:4" x14ac:dyDescent="0.25">
      <c r="A4869" t="s">
        <v>661</v>
      </c>
      <c r="B4869" t="s">
        <v>27</v>
      </c>
      <c r="C4869" s="2">
        <f>HYPERLINK("https://sao.dolgi.msk.ru/account/1404256824/", 1404256824)</f>
        <v>1404256824</v>
      </c>
      <c r="D4869">
        <v>28119.74</v>
      </c>
    </row>
    <row r="4870" spans="1:4" hidden="1" x14ac:dyDescent="0.25">
      <c r="A4870" t="s">
        <v>661</v>
      </c>
      <c r="B4870" t="s">
        <v>28</v>
      </c>
      <c r="C4870" s="2">
        <f>HYPERLINK("https://sao.dolgi.msk.ru/account/1404255143/", 1404255143)</f>
        <v>1404255143</v>
      </c>
      <c r="D4870">
        <v>-9427.42</v>
      </c>
    </row>
    <row r="4871" spans="1:4" hidden="1" x14ac:dyDescent="0.25">
      <c r="A4871" t="s">
        <v>661</v>
      </c>
      <c r="B4871" t="s">
        <v>29</v>
      </c>
      <c r="C4871" s="2">
        <f>HYPERLINK("https://sao.dolgi.msk.ru/account/1404254546/", 1404254546)</f>
        <v>1404254546</v>
      </c>
      <c r="D4871">
        <v>-7167.57</v>
      </c>
    </row>
    <row r="4872" spans="1:4" hidden="1" x14ac:dyDescent="0.25">
      <c r="A4872" t="s">
        <v>661</v>
      </c>
      <c r="B4872" t="s">
        <v>30</v>
      </c>
      <c r="C4872" s="2">
        <f>HYPERLINK("https://sao.dolgi.msk.ru/account/1404256437/", 1404256437)</f>
        <v>1404256437</v>
      </c>
      <c r="D4872">
        <v>0</v>
      </c>
    </row>
    <row r="4873" spans="1:4" hidden="1" x14ac:dyDescent="0.25">
      <c r="A4873" t="s">
        <v>661</v>
      </c>
      <c r="B4873" t="s">
        <v>31</v>
      </c>
      <c r="C4873" s="2">
        <f>HYPERLINK("https://sao.dolgi.msk.ru/account/1404254554/", 1404254554)</f>
        <v>1404254554</v>
      </c>
      <c r="D4873">
        <v>-5122.3100000000004</v>
      </c>
    </row>
    <row r="4874" spans="1:4" hidden="1" x14ac:dyDescent="0.25">
      <c r="A4874" t="s">
        <v>661</v>
      </c>
      <c r="B4874" t="s">
        <v>32</v>
      </c>
      <c r="C4874" s="2">
        <f>HYPERLINK("https://sao.dolgi.msk.ru/account/1404254503/", 1404254503)</f>
        <v>1404254503</v>
      </c>
      <c r="D4874">
        <v>-9549.5499999999993</v>
      </c>
    </row>
    <row r="4875" spans="1:4" hidden="1" x14ac:dyDescent="0.25">
      <c r="A4875" t="s">
        <v>661</v>
      </c>
      <c r="B4875" t="s">
        <v>33</v>
      </c>
      <c r="C4875" s="2">
        <f>HYPERLINK("https://sao.dolgi.msk.ru/account/1404256285/", 1404256285)</f>
        <v>1404256285</v>
      </c>
      <c r="D4875">
        <v>0</v>
      </c>
    </row>
    <row r="4876" spans="1:4" x14ac:dyDescent="0.25">
      <c r="A4876" t="s">
        <v>661</v>
      </c>
      <c r="B4876" t="s">
        <v>34</v>
      </c>
      <c r="C4876" s="2">
        <f>HYPERLINK("https://sao.dolgi.msk.ru/account/1404254431/", 1404254431)</f>
        <v>1404254431</v>
      </c>
      <c r="D4876">
        <v>1122.97</v>
      </c>
    </row>
    <row r="4877" spans="1:4" hidden="1" x14ac:dyDescent="0.25">
      <c r="A4877" t="s">
        <v>661</v>
      </c>
      <c r="B4877" t="s">
        <v>35</v>
      </c>
      <c r="C4877" s="2">
        <f>HYPERLINK("https://sao.dolgi.msk.ru/account/1404256306/", 1404256306)</f>
        <v>1404256306</v>
      </c>
      <c r="D4877">
        <v>-7117.18</v>
      </c>
    </row>
    <row r="4878" spans="1:4" hidden="1" x14ac:dyDescent="0.25">
      <c r="A4878" t="s">
        <v>661</v>
      </c>
      <c r="B4878" t="s">
        <v>36</v>
      </c>
      <c r="C4878" s="2">
        <f>HYPERLINK("https://sao.dolgi.msk.ru/account/1404254749/", 1404254749)</f>
        <v>1404254749</v>
      </c>
      <c r="D4878">
        <v>0</v>
      </c>
    </row>
    <row r="4879" spans="1:4" hidden="1" x14ac:dyDescent="0.25">
      <c r="A4879" t="s">
        <v>661</v>
      </c>
      <c r="B4879" t="s">
        <v>37</v>
      </c>
      <c r="C4879" s="2">
        <f>HYPERLINK("https://sao.dolgi.msk.ru/account/1404256736/", 1404256736)</f>
        <v>1404256736</v>
      </c>
      <c r="D4879">
        <v>-8875.91</v>
      </c>
    </row>
    <row r="4880" spans="1:4" hidden="1" x14ac:dyDescent="0.25">
      <c r="A4880" t="s">
        <v>661</v>
      </c>
      <c r="B4880" t="s">
        <v>38</v>
      </c>
      <c r="C4880" s="2">
        <f>HYPERLINK("https://sao.dolgi.msk.ru/account/1404256699/", 1404256699)</f>
        <v>1404256699</v>
      </c>
      <c r="D4880">
        <v>0</v>
      </c>
    </row>
    <row r="4881" spans="1:4" hidden="1" x14ac:dyDescent="0.25">
      <c r="A4881" t="s">
        <v>661</v>
      </c>
      <c r="B4881" t="s">
        <v>39</v>
      </c>
      <c r="C4881" s="2">
        <f>HYPERLINK("https://sao.dolgi.msk.ru/account/1404256314/", 1404256314)</f>
        <v>1404256314</v>
      </c>
      <c r="D4881">
        <v>-10589.07</v>
      </c>
    </row>
    <row r="4882" spans="1:4" x14ac:dyDescent="0.25">
      <c r="A4882" t="s">
        <v>661</v>
      </c>
      <c r="B4882" t="s">
        <v>40</v>
      </c>
      <c r="C4882" s="2">
        <f>HYPERLINK("https://sao.dolgi.msk.ru/account/1404255397/", 1404255397)</f>
        <v>1404255397</v>
      </c>
      <c r="D4882">
        <v>7691.39</v>
      </c>
    </row>
    <row r="4883" spans="1:4" hidden="1" x14ac:dyDescent="0.25">
      <c r="A4883" t="s">
        <v>661</v>
      </c>
      <c r="B4883" t="s">
        <v>41</v>
      </c>
      <c r="C4883" s="2">
        <f>HYPERLINK("https://sao.dolgi.msk.ru/account/1404255004/", 1404255004)</f>
        <v>1404255004</v>
      </c>
      <c r="D4883">
        <v>-5332.53</v>
      </c>
    </row>
    <row r="4884" spans="1:4" hidden="1" x14ac:dyDescent="0.25">
      <c r="A4884" t="s">
        <v>661</v>
      </c>
      <c r="B4884" t="s">
        <v>42</v>
      </c>
      <c r="C4884" s="2">
        <f>HYPERLINK("https://sao.dolgi.msk.ru/account/1404255696/", 1404255696)</f>
        <v>1404255696</v>
      </c>
      <c r="D4884">
        <v>-5904.46</v>
      </c>
    </row>
    <row r="4885" spans="1:4" hidden="1" x14ac:dyDescent="0.25">
      <c r="A4885" t="s">
        <v>661</v>
      </c>
      <c r="B4885" t="s">
        <v>43</v>
      </c>
      <c r="C4885" s="2">
        <f>HYPERLINK("https://sao.dolgi.msk.ru/account/1404254909/", 1404254909)</f>
        <v>1404254909</v>
      </c>
      <c r="D4885">
        <v>-2671.75</v>
      </c>
    </row>
    <row r="4886" spans="1:4" hidden="1" x14ac:dyDescent="0.25">
      <c r="A4886" t="s">
        <v>661</v>
      </c>
      <c r="B4886" t="s">
        <v>43</v>
      </c>
      <c r="C4886" s="2">
        <f>HYPERLINK("https://sao.dolgi.msk.ru/account/1404255987/", 1404255987)</f>
        <v>1404255987</v>
      </c>
      <c r="D4886">
        <v>-3591.77</v>
      </c>
    </row>
    <row r="4887" spans="1:4" hidden="1" x14ac:dyDescent="0.25">
      <c r="A4887" t="s">
        <v>661</v>
      </c>
      <c r="B4887" t="s">
        <v>44</v>
      </c>
      <c r="C4887" s="2">
        <f>HYPERLINK("https://sao.dolgi.msk.ru/account/1404254562/", 1404254562)</f>
        <v>1404254562</v>
      </c>
      <c r="D4887">
        <v>-13857.15</v>
      </c>
    </row>
    <row r="4888" spans="1:4" hidden="1" x14ac:dyDescent="0.25">
      <c r="A4888" t="s">
        <v>661</v>
      </c>
      <c r="B4888" t="s">
        <v>45</v>
      </c>
      <c r="C4888" s="2">
        <f>HYPERLINK("https://sao.dolgi.msk.ru/account/1404255514/", 1404255514)</f>
        <v>1404255514</v>
      </c>
      <c r="D4888">
        <v>0</v>
      </c>
    </row>
    <row r="4889" spans="1:4" hidden="1" x14ac:dyDescent="0.25">
      <c r="A4889" t="s">
        <v>661</v>
      </c>
      <c r="B4889" t="s">
        <v>46</v>
      </c>
      <c r="C4889" s="2">
        <f>HYPERLINK("https://sao.dolgi.msk.ru/account/1404254837/", 1404254837)</f>
        <v>1404254837</v>
      </c>
      <c r="D4889">
        <v>-2807.87</v>
      </c>
    </row>
    <row r="4890" spans="1:4" hidden="1" x14ac:dyDescent="0.25">
      <c r="A4890" t="s">
        <v>661</v>
      </c>
      <c r="B4890" t="s">
        <v>47</v>
      </c>
      <c r="C4890" s="2">
        <f>HYPERLINK("https://sao.dolgi.msk.ru/account/1404254589/", 1404254589)</f>
        <v>1404254589</v>
      </c>
      <c r="D4890">
        <v>-3322.15</v>
      </c>
    </row>
    <row r="4891" spans="1:4" hidden="1" x14ac:dyDescent="0.25">
      <c r="A4891" t="s">
        <v>661</v>
      </c>
      <c r="B4891" t="s">
        <v>48</v>
      </c>
      <c r="C4891" s="2">
        <f>HYPERLINK("https://sao.dolgi.msk.ru/account/1404255709/", 1404255709)</f>
        <v>1404255709</v>
      </c>
      <c r="D4891">
        <v>-7891.71</v>
      </c>
    </row>
    <row r="4892" spans="1:4" hidden="1" x14ac:dyDescent="0.25">
      <c r="A4892" t="s">
        <v>661</v>
      </c>
      <c r="B4892" t="s">
        <v>49</v>
      </c>
      <c r="C4892" s="2">
        <f>HYPERLINK("https://sao.dolgi.msk.ru/account/1404255522/", 1404255522)</f>
        <v>1404255522</v>
      </c>
      <c r="D4892">
        <v>-6732.41</v>
      </c>
    </row>
    <row r="4893" spans="1:4" hidden="1" x14ac:dyDescent="0.25">
      <c r="A4893" t="s">
        <v>661</v>
      </c>
      <c r="B4893" t="s">
        <v>50</v>
      </c>
      <c r="C4893" s="2">
        <f>HYPERLINK("https://sao.dolgi.msk.ru/account/1404255151/", 1404255151)</f>
        <v>1404255151</v>
      </c>
      <c r="D4893">
        <v>-3697.4</v>
      </c>
    </row>
    <row r="4894" spans="1:4" hidden="1" x14ac:dyDescent="0.25">
      <c r="A4894" t="s">
        <v>661</v>
      </c>
      <c r="B4894" t="s">
        <v>51</v>
      </c>
      <c r="C4894" s="2">
        <f>HYPERLINK("https://sao.dolgi.msk.ru/account/1404254597/", 1404254597)</f>
        <v>1404254597</v>
      </c>
      <c r="D4894">
        <v>-11004.23</v>
      </c>
    </row>
    <row r="4895" spans="1:4" hidden="1" x14ac:dyDescent="0.25">
      <c r="A4895" t="s">
        <v>661</v>
      </c>
      <c r="B4895" t="s">
        <v>52</v>
      </c>
      <c r="C4895" s="2">
        <f>HYPERLINK("https://sao.dolgi.msk.ru/account/1404254618/", 1404254618)</f>
        <v>1404254618</v>
      </c>
      <c r="D4895">
        <v>0</v>
      </c>
    </row>
    <row r="4896" spans="1:4" hidden="1" x14ac:dyDescent="0.25">
      <c r="A4896" t="s">
        <v>661</v>
      </c>
      <c r="B4896" t="s">
        <v>53</v>
      </c>
      <c r="C4896" s="2">
        <f>HYPERLINK("https://sao.dolgi.msk.ru/account/1404254626/", 1404254626)</f>
        <v>1404254626</v>
      </c>
      <c r="D4896">
        <v>-8282.5</v>
      </c>
    </row>
    <row r="4897" spans="1:4" hidden="1" x14ac:dyDescent="0.25">
      <c r="A4897" t="s">
        <v>661</v>
      </c>
      <c r="B4897" t="s">
        <v>54</v>
      </c>
      <c r="C4897" s="2">
        <f>HYPERLINK("https://sao.dolgi.msk.ru/account/1404256445/", 1404256445)</f>
        <v>1404256445</v>
      </c>
      <c r="D4897">
        <v>-6046.8</v>
      </c>
    </row>
    <row r="4898" spans="1:4" hidden="1" x14ac:dyDescent="0.25">
      <c r="A4898" t="s">
        <v>661</v>
      </c>
      <c r="B4898" t="s">
        <v>55</v>
      </c>
      <c r="C4898" s="2">
        <f>HYPERLINK("https://sao.dolgi.msk.ru/account/1404255549/", 1404255549)</f>
        <v>1404255549</v>
      </c>
      <c r="D4898">
        <v>-3600.9</v>
      </c>
    </row>
    <row r="4899" spans="1:4" hidden="1" x14ac:dyDescent="0.25">
      <c r="A4899" t="s">
        <v>661</v>
      </c>
      <c r="B4899" t="s">
        <v>56</v>
      </c>
      <c r="C4899" s="2">
        <f>HYPERLINK("https://sao.dolgi.msk.ru/account/1404255178/", 1404255178)</f>
        <v>1404255178</v>
      </c>
      <c r="D4899">
        <v>-7015.84</v>
      </c>
    </row>
    <row r="4900" spans="1:4" hidden="1" x14ac:dyDescent="0.25">
      <c r="A4900" t="s">
        <v>661</v>
      </c>
      <c r="B4900" t="s">
        <v>57</v>
      </c>
      <c r="C4900" s="2">
        <f>HYPERLINK("https://sao.dolgi.msk.ru/account/1404254845/", 1404254845)</f>
        <v>1404254845</v>
      </c>
      <c r="D4900">
        <v>0</v>
      </c>
    </row>
    <row r="4901" spans="1:4" hidden="1" x14ac:dyDescent="0.25">
      <c r="A4901" t="s">
        <v>661</v>
      </c>
      <c r="B4901" t="s">
        <v>58</v>
      </c>
      <c r="C4901" s="2">
        <f>HYPERLINK("https://sao.dolgi.msk.ru/account/1404256111/", 1404256111)</f>
        <v>1404256111</v>
      </c>
      <c r="D4901">
        <v>-2333.27</v>
      </c>
    </row>
    <row r="4902" spans="1:4" hidden="1" x14ac:dyDescent="0.25">
      <c r="A4902" t="s">
        <v>661</v>
      </c>
      <c r="B4902" t="s">
        <v>58</v>
      </c>
      <c r="C4902" s="2">
        <f>HYPERLINK("https://sao.dolgi.msk.ru/account/1404256859/", 1404256859)</f>
        <v>1404256859</v>
      </c>
      <c r="D4902">
        <v>-1584.19</v>
      </c>
    </row>
    <row r="4903" spans="1:4" hidden="1" x14ac:dyDescent="0.25">
      <c r="A4903" t="s">
        <v>661</v>
      </c>
      <c r="B4903" t="s">
        <v>59</v>
      </c>
      <c r="C4903" s="2">
        <f>HYPERLINK("https://sao.dolgi.msk.ru/account/1404254853/", 1404254853)</f>
        <v>1404254853</v>
      </c>
      <c r="D4903">
        <v>-5667.79</v>
      </c>
    </row>
    <row r="4904" spans="1:4" hidden="1" x14ac:dyDescent="0.25">
      <c r="A4904" t="s">
        <v>661</v>
      </c>
      <c r="B4904" t="s">
        <v>60</v>
      </c>
      <c r="C4904" s="2">
        <f>HYPERLINK("https://sao.dolgi.msk.ru/account/1404256162/", 1404256162)</f>
        <v>1404256162</v>
      </c>
      <c r="D4904">
        <v>-6415.72</v>
      </c>
    </row>
    <row r="4905" spans="1:4" hidden="1" x14ac:dyDescent="0.25">
      <c r="A4905" t="s">
        <v>661</v>
      </c>
      <c r="B4905" t="s">
        <v>61</v>
      </c>
      <c r="C4905" s="2">
        <f>HYPERLINK("https://sao.dolgi.msk.ru/account/1404256867/", 1404256867)</f>
        <v>1404256867</v>
      </c>
      <c r="D4905">
        <v>-6927.47</v>
      </c>
    </row>
    <row r="4906" spans="1:4" hidden="1" x14ac:dyDescent="0.25">
      <c r="A4906" t="s">
        <v>661</v>
      </c>
      <c r="B4906" t="s">
        <v>62</v>
      </c>
      <c r="C4906" s="2">
        <f>HYPERLINK("https://sao.dolgi.msk.ru/account/1404256453/", 1404256453)</f>
        <v>1404256453</v>
      </c>
      <c r="D4906">
        <v>-7707.51</v>
      </c>
    </row>
    <row r="4907" spans="1:4" hidden="1" x14ac:dyDescent="0.25">
      <c r="A4907" t="s">
        <v>661</v>
      </c>
      <c r="B4907" t="s">
        <v>63</v>
      </c>
      <c r="C4907" s="2">
        <f>HYPERLINK("https://sao.dolgi.msk.ru/account/1404254706/", 1404254706)</f>
        <v>1404254706</v>
      </c>
      <c r="D4907">
        <v>-3490.36</v>
      </c>
    </row>
    <row r="4908" spans="1:4" x14ac:dyDescent="0.25">
      <c r="A4908" t="s">
        <v>661</v>
      </c>
      <c r="B4908" t="s">
        <v>63</v>
      </c>
      <c r="C4908" s="2">
        <f>HYPERLINK("https://sao.dolgi.msk.ru/account/1404255186/", 1404255186)</f>
        <v>1404255186</v>
      </c>
      <c r="D4908">
        <v>2088.65</v>
      </c>
    </row>
    <row r="4909" spans="1:4" x14ac:dyDescent="0.25">
      <c r="A4909" t="s">
        <v>661</v>
      </c>
      <c r="B4909" t="s">
        <v>64</v>
      </c>
      <c r="C4909" s="2">
        <f>HYPERLINK("https://sao.dolgi.msk.ru/account/1404256664/", 1404256664)</f>
        <v>1404256664</v>
      </c>
      <c r="D4909">
        <v>1842.89</v>
      </c>
    </row>
    <row r="4910" spans="1:4" hidden="1" x14ac:dyDescent="0.25">
      <c r="A4910" t="s">
        <v>661</v>
      </c>
      <c r="B4910" t="s">
        <v>65</v>
      </c>
      <c r="C4910" s="2">
        <f>HYPERLINK("https://sao.dolgi.msk.ru/account/1404255944/", 1404255944)</f>
        <v>1404255944</v>
      </c>
      <c r="D4910">
        <v>-5365</v>
      </c>
    </row>
    <row r="4911" spans="1:4" hidden="1" x14ac:dyDescent="0.25">
      <c r="A4911" t="s">
        <v>661</v>
      </c>
      <c r="B4911" t="s">
        <v>66</v>
      </c>
      <c r="C4911" s="2">
        <f>HYPERLINK("https://sao.dolgi.msk.ru/account/1404256277/", 1404256277)</f>
        <v>1404256277</v>
      </c>
      <c r="D4911">
        <v>-4814.1000000000004</v>
      </c>
    </row>
    <row r="4912" spans="1:4" hidden="1" x14ac:dyDescent="0.25">
      <c r="A4912" t="s">
        <v>661</v>
      </c>
      <c r="B4912" t="s">
        <v>67</v>
      </c>
      <c r="C4912" s="2">
        <f>HYPERLINK("https://sao.dolgi.msk.ru/account/1404256672/", 1404256672)</f>
        <v>1404256672</v>
      </c>
      <c r="D4912">
        <v>-8138.21</v>
      </c>
    </row>
    <row r="4913" spans="1:4" x14ac:dyDescent="0.25">
      <c r="A4913" t="s">
        <v>661</v>
      </c>
      <c r="B4913" t="s">
        <v>68</v>
      </c>
      <c r="C4913" s="2">
        <f>HYPERLINK("https://sao.dolgi.msk.ru/account/1404254714/", 1404254714)</f>
        <v>1404254714</v>
      </c>
      <c r="D4913">
        <v>44323.839999999997</v>
      </c>
    </row>
    <row r="4914" spans="1:4" hidden="1" x14ac:dyDescent="0.25">
      <c r="A4914" t="s">
        <v>661</v>
      </c>
      <c r="B4914" t="s">
        <v>69</v>
      </c>
      <c r="C4914" s="2">
        <f>HYPERLINK("https://sao.dolgi.msk.ru/account/1404255952/", 1404255952)</f>
        <v>1404255952</v>
      </c>
      <c r="D4914">
        <v>-8595.39</v>
      </c>
    </row>
    <row r="4915" spans="1:4" hidden="1" x14ac:dyDescent="0.25">
      <c r="A4915" t="s">
        <v>661</v>
      </c>
      <c r="B4915" t="s">
        <v>70</v>
      </c>
      <c r="C4915" s="2">
        <f>HYPERLINK("https://sao.dolgi.msk.ru/account/1404254423/", 1404254423)</f>
        <v>1404254423</v>
      </c>
      <c r="D4915">
        <v>0</v>
      </c>
    </row>
    <row r="4916" spans="1:4" hidden="1" x14ac:dyDescent="0.25">
      <c r="A4916" t="s">
        <v>661</v>
      </c>
      <c r="B4916" t="s">
        <v>71</v>
      </c>
      <c r="C4916" s="2">
        <f>HYPERLINK("https://sao.dolgi.msk.ru/account/1404254722/", 1404254722)</f>
        <v>1404254722</v>
      </c>
      <c r="D4916">
        <v>0</v>
      </c>
    </row>
    <row r="4917" spans="1:4" hidden="1" x14ac:dyDescent="0.25">
      <c r="A4917" t="s">
        <v>661</v>
      </c>
      <c r="B4917" t="s">
        <v>72</v>
      </c>
      <c r="C4917" s="2">
        <f>HYPERLINK("https://sao.dolgi.msk.ru/account/1404255979/", 1404255979)</f>
        <v>1404255979</v>
      </c>
      <c r="D4917">
        <v>-6216.15</v>
      </c>
    </row>
    <row r="4918" spans="1:4" hidden="1" x14ac:dyDescent="0.25">
      <c r="A4918" t="s">
        <v>661</v>
      </c>
      <c r="B4918" t="s">
        <v>73</v>
      </c>
      <c r="C4918" s="2">
        <f>HYPERLINK("https://sao.dolgi.msk.ru/account/1404255274/", 1404255274)</f>
        <v>1404255274</v>
      </c>
      <c r="D4918">
        <v>0</v>
      </c>
    </row>
    <row r="4919" spans="1:4" x14ac:dyDescent="0.25">
      <c r="A4919" t="s">
        <v>661</v>
      </c>
      <c r="B4919" t="s">
        <v>74</v>
      </c>
      <c r="C4919" s="2">
        <f>HYPERLINK("https://sao.dolgi.msk.ru/account/1404256832/", 1404256832)</f>
        <v>1404256832</v>
      </c>
      <c r="D4919">
        <v>17473.63</v>
      </c>
    </row>
    <row r="4920" spans="1:4" hidden="1" x14ac:dyDescent="0.25">
      <c r="A4920" t="s">
        <v>661</v>
      </c>
      <c r="B4920" t="s">
        <v>75</v>
      </c>
      <c r="C4920" s="2">
        <f>HYPERLINK("https://sao.dolgi.msk.ru/account/1404254335/", 1404254335)</f>
        <v>1404254335</v>
      </c>
      <c r="D4920">
        <v>0</v>
      </c>
    </row>
    <row r="4921" spans="1:4" x14ac:dyDescent="0.25">
      <c r="A4921" t="s">
        <v>661</v>
      </c>
      <c r="B4921" t="s">
        <v>76</v>
      </c>
      <c r="C4921" s="2">
        <f>HYPERLINK("https://sao.dolgi.msk.ru/account/1404256517/", 1404256517)</f>
        <v>1404256517</v>
      </c>
      <c r="D4921">
        <v>11610.05</v>
      </c>
    </row>
    <row r="4922" spans="1:4" hidden="1" x14ac:dyDescent="0.25">
      <c r="A4922" t="s">
        <v>661</v>
      </c>
      <c r="B4922" t="s">
        <v>77</v>
      </c>
      <c r="C4922" s="2">
        <f>HYPERLINK("https://sao.dolgi.msk.ru/account/1404255573/", 1404255573)</f>
        <v>1404255573</v>
      </c>
      <c r="D4922">
        <v>-6689.95</v>
      </c>
    </row>
    <row r="4923" spans="1:4" hidden="1" x14ac:dyDescent="0.25">
      <c r="A4923" t="s">
        <v>661</v>
      </c>
      <c r="B4923" t="s">
        <v>78</v>
      </c>
      <c r="C4923" s="2">
        <f>HYPERLINK("https://sao.dolgi.msk.ru/account/1404256525/", 1404256525)</f>
        <v>1404256525</v>
      </c>
      <c r="D4923">
        <v>0</v>
      </c>
    </row>
    <row r="4924" spans="1:4" x14ac:dyDescent="0.25">
      <c r="A4924" t="s">
        <v>661</v>
      </c>
      <c r="B4924" t="s">
        <v>79</v>
      </c>
      <c r="C4924" s="2">
        <f>HYPERLINK("https://sao.dolgi.msk.ru/account/1404256197/", 1404256197)</f>
        <v>1404256197</v>
      </c>
      <c r="D4924">
        <v>3774.44</v>
      </c>
    </row>
    <row r="4925" spans="1:4" hidden="1" x14ac:dyDescent="0.25">
      <c r="A4925" t="s">
        <v>661</v>
      </c>
      <c r="B4925" t="s">
        <v>80</v>
      </c>
      <c r="C4925" s="2">
        <f>HYPERLINK("https://sao.dolgi.msk.ru/account/1404256349/", 1404256349)</f>
        <v>1404256349</v>
      </c>
      <c r="D4925">
        <v>0</v>
      </c>
    </row>
    <row r="4926" spans="1:4" x14ac:dyDescent="0.25">
      <c r="A4926" t="s">
        <v>661</v>
      </c>
      <c r="B4926" t="s">
        <v>81</v>
      </c>
      <c r="C4926" s="2">
        <f>HYPERLINK("https://sao.dolgi.msk.ru/account/1404256015/", 1404256015)</f>
        <v>1404256015</v>
      </c>
      <c r="D4926">
        <v>17658.7</v>
      </c>
    </row>
    <row r="4927" spans="1:4" hidden="1" x14ac:dyDescent="0.25">
      <c r="A4927" t="s">
        <v>661</v>
      </c>
      <c r="B4927" t="s">
        <v>82</v>
      </c>
      <c r="C4927" s="2">
        <f>HYPERLINK("https://sao.dolgi.msk.ru/account/1404255717/", 1404255717)</f>
        <v>1404255717</v>
      </c>
      <c r="D4927">
        <v>-11258.38</v>
      </c>
    </row>
    <row r="4928" spans="1:4" hidden="1" x14ac:dyDescent="0.25">
      <c r="A4928" t="s">
        <v>661</v>
      </c>
      <c r="B4928" t="s">
        <v>83</v>
      </c>
      <c r="C4928" s="2">
        <f>HYPERLINK("https://sao.dolgi.msk.ru/account/1404255725/", 1404255725)</f>
        <v>1404255725</v>
      </c>
      <c r="D4928">
        <v>0</v>
      </c>
    </row>
    <row r="4929" spans="1:4" hidden="1" x14ac:dyDescent="0.25">
      <c r="A4929" t="s">
        <v>661</v>
      </c>
      <c r="B4929" t="s">
        <v>84</v>
      </c>
      <c r="C4929" s="2">
        <f>HYPERLINK("https://sao.dolgi.msk.ru/account/1404254466/", 1404254466)</f>
        <v>1404254466</v>
      </c>
      <c r="D4929">
        <v>0</v>
      </c>
    </row>
    <row r="4930" spans="1:4" hidden="1" x14ac:dyDescent="0.25">
      <c r="A4930" t="s">
        <v>661</v>
      </c>
      <c r="B4930" t="s">
        <v>85</v>
      </c>
      <c r="C4930" s="2">
        <f>HYPERLINK("https://sao.dolgi.msk.ru/account/1404254474/", 1404254474)</f>
        <v>1404254474</v>
      </c>
      <c r="D4930">
        <v>0</v>
      </c>
    </row>
    <row r="4931" spans="1:4" hidden="1" x14ac:dyDescent="0.25">
      <c r="A4931" t="s">
        <v>661</v>
      </c>
      <c r="B4931" t="s">
        <v>86</v>
      </c>
      <c r="C4931" s="2">
        <f>HYPERLINK("https://sao.dolgi.msk.ru/account/1404256023/", 1404256023)</f>
        <v>1404256023</v>
      </c>
      <c r="D4931">
        <v>-1859.13</v>
      </c>
    </row>
    <row r="4932" spans="1:4" x14ac:dyDescent="0.25">
      <c r="A4932" t="s">
        <v>661</v>
      </c>
      <c r="B4932" t="s">
        <v>87</v>
      </c>
      <c r="C4932" s="2">
        <f>HYPERLINK("https://sao.dolgi.msk.ru/account/1404255434/", 1404255434)</f>
        <v>1404255434</v>
      </c>
      <c r="D4932">
        <v>860.01</v>
      </c>
    </row>
    <row r="4933" spans="1:4" hidden="1" x14ac:dyDescent="0.25">
      <c r="A4933" t="s">
        <v>661</v>
      </c>
      <c r="B4933" t="s">
        <v>88</v>
      </c>
      <c r="C4933" s="2">
        <f>HYPERLINK("https://sao.dolgi.msk.ru/account/1404255741/", 1404255741)</f>
        <v>1404255741</v>
      </c>
      <c r="D4933">
        <v>-11101.9</v>
      </c>
    </row>
    <row r="4934" spans="1:4" hidden="1" x14ac:dyDescent="0.25">
      <c r="A4934" t="s">
        <v>661</v>
      </c>
      <c r="B4934" t="s">
        <v>89</v>
      </c>
      <c r="C4934" s="2">
        <f>HYPERLINK("https://sao.dolgi.msk.ru/account/1404255768/", 1404255768)</f>
        <v>1404255768</v>
      </c>
      <c r="D4934">
        <v>-8755.19</v>
      </c>
    </row>
    <row r="4935" spans="1:4" hidden="1" x14ac:dyDescent="0.25">
      <c r="A4935" t="s">
        <v>661</v>
      </c>
      <c r="B4935" t="s">
        <v>90</v>
      </c>
      <c r="C4935" s="2">
        <f>HYPERLINK("https://sao.dolgi.msk.ru/account/1404256031/", 1404256031)</f>
        <v>1404256031</v>
      </c>
      <c r="D4935">
        <v>-6061.49</v>
      </c>
    </row>
    <row r="4936" spans="1:4" hidden="1" x14ac:dyDescent="0.25">
      <c r="A4936" t="s">
        <v>661</v>
      </c>
      <c r="B4936" t="s">
        <v>91</v>
      </c>
      <c r="C4936" s="2">
        <f>HYPERLINK("https://sao.dolgi.msk.ru/account/1404256744/", 1404256744)</f>
        <v>1404256744</v>
      </c>
      <c r="D4936">
        <v>-3974.51</v>
      </c>
    </row>
    <row r="4937" spans="1:4" hidden="1" x14ac:dyDescent="0.25">
      <c r="A4937" t="s">
        <v>661</v>
      </c>
      <c r="B4937" t="s">
        <v>92</v>
      </c>
      <c r="C4937" s="2">
        <f>HYPERLINK("https://sao.dolgi.msk.ru/account/1404255442/", 1404255442)</f>
        <v>1404255442</v>
      </c>
      <c r="D4937">
        <v>0</v>
      </c>
    </row>
    <row r="4938" spans="1:4" hidden="1" x14ac:dyDescent="0.25">
      <c r="A4938" t="s">
        <v>661</v>
      </c>
      <c r="B4938" t="s">
        <v>93</v>
      </c>
      <c r="C4938" s="2">
        <f>HYPERLINK("https://sao.dolgi.msk.ru/account/1404256752/", 1404256752)</f>
        <v>1404256752</v>
      </c>
      <c r="D4938">
        <v>0</v>
      </c>
    </row>
    <row r="4939" spans="1:4" hidden="1" x14ac:dyDescent="0.25">
      <c r="A4939" t="s">
        <v>661</v>
      </c>
      <c r="B4939" t="s">
        <v>94</v>
      </c>
      <c r="C4939" s="2">
        <f>HYPERLINK("https://sao.dolgi.msk.ru/account/1404256779/", 1404256779)</f>
        <v>1404256779</v>
      </c>
      <c r="D4939">
        <v>-3655.36</v>
      </c>
    </row>
    <row r="4940" spans="1:4" hidden="1" x14ac:dyDescent="0.25">
      <c r="A4940" t="s">
        <v>661</v>
      </c>
      <c r="B4940" t="s">
        <v>95</v>
      </c>
      <c r="C4940" s="2">
        <f>HYPERLINK("https://sao.dolgi.msk.ru/account/1404255039/", 1404255039)</f>
        <v>1404255039</v>
      </c>
      <c r="D4940">
        <v>-3630.64</v>
      </c>
    </row>
    <row r="4941" spans="1:4" x14ac:dyDescent="0.25">
      <c r="A4941" t="s">
        <v>661</v>
      </c>
      <c r="B4941" t="s">
        <v>96</v>
      </c>
      <c r="C4941" s="2">
        <f>HYPERLINK("https://sao.dolgi.msk.ru/account/1404255469/", 1404255469)</f>
        <v>1404255469</v>
      </c>
      <c r="D4941">
        <v>18006.13</v>
      </c>
    </row>
    <row r="4942" spans="1:4" hidden="1" x14ac:dyDescent="0.25">
      <c r="A4942" t="s">
        <v>661</v>
      </c>
      <c r="B4942" t="s">
        <v>97</v>
      </c>
      <c r="C4942" s="2">
        <f>HYPERLINK("https://sao.dolgi.msk.ru/account/1404255047/", 1404255047)</f>
        <v>1404255047</v>
      </c>
      <c r="D4942">
        <v>-7161.25</v>
      </c>
    </row>
    <row r="4943" spans="1:4" hidden="1" x14ac:dyDescent="0.25">
      <c r="A4943" t="s">
        <v>661</v>
      </c>
      <c r="B4943" t="s">
        <v>98</v>
      </c>
      <c r="C4943" s="2">
        <f>HYPERLINK("https://sao.dolgi.msk.ru/account/1404256058/", 1404256058)</f>
        <v>1404256058</v>
      </c>
      <c r="D4943">
        <v>0</v>
      </c>
    </row>
    <row r="4944" spans="1:4" hidden="1" x14ac:dyDescent="0.25">
      <c r="A4944" t="s">
        <v>661</v>
      </c>
      <c r="B4944" t="s">
        <v>99</v>
      </c>
      <c r="C4944" s="2">
        <f>HYPERLINK("https://sao.dolgi.msk.ru/account/1404256365/", 1404256365)</f>
        <v>1404256365</v>
      </c>
      <c r="D4944">
        <v>-6698.39</v>
      </c>
    </row>
    <row r="4945" spans="1:4" hidden="1" x14ac:dyDescent="0.25">
      <c r="A4945" t="s">
        <v>661</v>
      </c>
      <c r="B4945" t="s">
        <v>100</v>
      </c>
      <c r="C4945" s="2">
        <f>HYPERLINK("https://sao.dolgi.msk.ru/account/1404255055/", 1404255055)</f>
        <v>1404255055</v>
      </c>
      <c r="D4945">
        <v>-5199.28</v>
      </c>
    </row>
    <row r="4946" spans="1:4" hidden="1" x14ac:dyDescent="0.25">
      <c r="A4946" t="s">
        <v>661</v>
      </c>
      <c r="B4946" t="s">
        <v>101</v>
      </c>
      <c r="C4946" s="2">
        <f>HYPERLINK("https://sao.dolgi.msk.ru/account/1404256066/", 1404256066)</f>
        <v>1404256066</v>
      </c>
      <c r="D4946">
        <v>-6913.79</v>
      </c>
    </row>
    <row r="4947" spans="1:4" hidden="1" x14ac:dyDescent="0.25">
      <c r="A4947" t="s">
        <v>661</v>
      </c>
      <c r="B4947" t="s">
        <v>102</v>
      </c>
      <c r="C4947" s="2">
        <f>HYPERLINK("https://sao.dolgi.msk.ru/account/1404254765/", 1404254765)</f>
        <v>1404254765</v>
      </c>
      <c r="D4947">
        <v>-7160.29</v>
      </c>
    </row>
    <row r="4948" spans="1:4" hidden="1" x14ac:dyDescent="0.25">
      <c r="A4948" t="s">
        <v>661</v>
      </c>
      <c r="B4948" t="s">
        <v>103</v>
      </c>
      <c r="C4948" s="2">
        <f>HYPERLINK("https://sao.dolgi.msk.ru/account/1404255784/", 1404255784)</f>
        <v>1404255784</v>
      </c>
      <c r="D4948">
        <v>-3612.95</v>
      </c>
    </row>
    <row r="4949" spans="1:4" hidden="1" x14ac:dyDescent="0.25">
      <c r="A4949" t="s">
        <v>661</v>
      </c>
      <c r="B4949" t="s">
        <v>104</v>
      </c>
      <c r="C4949" s="2">
        <f>HYPERLINK("https://sao.dolgi.msk.ru/account/1404256402/", 1404256402)</f>
        <v>1404256402</v>
      </c>
      <c r="D4949">
        <v>-5872.79</v>
      </c>
    </row>
    <row r="4950" spans="1:4" hidden="1" x14ac:dyDescent="0.25">
      <c r="A4950" t="s">
        <v>661</v>
      </c>
      <c r="B4950" t="s">
        <v>105</v>
      </c>
      <c r="C4950" s="2">
        <f>HYPERLINK("https://sao.dolgi.msk.ru/account/1404254802/", 1404254802)</f>
        <v>1404254802</v>
      </c>
      <c r="D4950">
        <v>-5050.17</v>
      </c>
    </row>
    <row r="4951" spans="1:4" hidden="1" x14ac:dyDescent="0.25">
      <c r="A4951" t="s">
        <v>661</v>
      </c>
      <c r="B4951" t="s">
        <v>106</v>
      </c>
      <c r="C4951" s="2">
        <f>HYPERLINK("https://sao.dolgi.msk.ru/account/1404255485/", 1404255485)</f>
        <v>1404255485</v>
      </c>
      <c r="D4951">
        <v>0</v>
      </c>
    </row>
    <row r="4952" spans="1:4" hidden="1" x14ac:dyDescent="0.25">
      <c r="A4952" t="s">
        <v>661</v>
      </c>
      <c r="B4952" t="s">
        <v>107</v>
      </c>
      <c r="C4952" s="2">
        <f>HYPERLINK("https://sao.dolgi.msk.ru/account/1404254511/", 1404254511)</f>
        <v>1404254511</v>
      </c>
      <c r="D4952">
        <v>0</v>
      </c>
    </row>
    <row r="4953" spans="1:4" hidden="1" x14ac:dyDescent="0.25">
      <c r="A4953" t="s">
        <v>661</v>
      </c>
      <c r="B4953" t="s">
        <v>108</v>
      </c>
      <c r="C4953" s="2">
        <f>HYPERLINK("https://sao.dolgi.msk.ru/account/1404256234/", 1404256234)</f>
        <v>1404256234</v>
      </c>
      <c r="D4953">
        <v>0</v>
      </c>
    </row>
    <row r="4954" spans="1:4" x14ac:dyDescent="0.25">
      <c r="A4954" t="s">
        <v>661</v>
      </c>
      <c r="B4954" t="s">
        <v>109</v>
      </c>
      <c r="C4954" s="2">
        <f>HYPERLINK("https://sao.dolgi.msk.ru/account/1404255645/", 1404255645)</f>
        <v>1404255645</v>
      </c>
      <c r="D4954">
        <v>1197.27</v>
      </c>
    </row>
    <row r="4955" spans="1:4" hidden="1" x14ac:dyDescent="0.25">
      <c r="A4955" t="s">
        <v>661</v>
      </c>
      <c r="B4955" t="s">
        <v>110</v>
      </c>
      <c r="C4955" s="2">
        <f>HYPERLINK("https://sao.dolgi.msk.ru/account/1404254976/", 1404254976)</f>
        <v>1404254976</v>
      </c>
      <c r="D4955">
        <v>0</v>
      </c>
    </row>
    <row r="4956" spans="1:4" hidden="1" x14ac:dyDescent="0.25">
      <c r="A4956" t="s">
        <v>661</v>
      </c>
      <c r="B4956" t="s">
        <v>111</v>
      </c>
      <c r="C4956" s="2">
        <f>HYPERLINK("https://sao.dolgi.msk.ru/account/1404255928/", 1404255928)</f>
        <v>1404255928</v>
      </c>
      <c r="D4956">
        <v>-5365.83</v>
      </c>
    </row>
    <row r="4957" spans="1:4" x14ac:dyDescent="0.25">
      <c r="A4957" t="s">
        <v>661</v>
      </c>
      <c r="B4957" t="s">
        <v>112</v>
      </c>
      <c r="C4957" s="2">
        <f>HYPERLINK("https://sao.dolgi.msk.ru/account/1404255362/", 1404255362)</f>
        <v>1404255362</v>
      </c>
      <c r="D4957">
        <v>5217.6099999999997</v>
      </c>
    </row>
    <row r="4958" spans="1:4" hidden="1" x14ac:dyDescent="0.25">
      <c r="A4958" t="s">
        <v>661</v>
      </c>
      <c r="B4958" t="s">
        <v>113</v>
      </c>
      <c r="C4958" s="2">
        <f>HYPERLINK("https://sao.dolgi.msk.ru/account/1404256242/", 1404256242)</f>
        <v>1404256242</v>
      </c>
      <c r="D4958">
        <v>-8308.58</v>
      </c>
    </row>
    <row r="4959" spans="1:4" hidden="1" x14ac:dyDescent="0.25">
      <c r="A4959" t="s">
        <v>661</v>
      </c>
      <c r="B4959" t="s">
        <v>114</v>
      </c>
      <c r="C4959" s="2">
        <f>HYPERLINK("https://sao.dolgi.msk.ru/account/1404256613/", 1404256613)</f>
        <v>1404256613</v>
      </c>
      <c r="D4959">
        <v>-5749.5</v>
      </c>
    </row>
    <row r="4960" spans="1:4" hidden="1" x14ac:dyDescent="0.25">
      <c r="A4960" t="s">
        <v>661</v>
      </c>
      <c r="B4960" t="s">
        <v>115</v>
      </c>
      <c r="C4960" s="2">
        <f>HYPERLINK("https://sao.dolgi.msk.ru/account/1404255389/", 1404255389)</f>
        <v>1404255389</v>
      </c>
      <c r="D4960">
        <v>-6786.06</v>
      </c>
    </row>
    <row r="4961" spans="1:4" hidden="1" x14ac:dyDescent="0.25">
      <c r="A4961" t="s">
        <v>661</v>
      </c>
      <c r="B4961" t="s">
        <v>116</v>
      </c>
      <c r="C4961" s="2">
        <f>HYPERLINK("https://sao.dolgi.msk.ru/account/1404255653/", 1404255653)</f>
        <v>1404255653</v>
      </c>
      <c r="D4961">
        <v>-4411.25</v>
      </c>
    </row>
    <row r="4962" spans="1:4" hidden="1" x14ac:dyDescent="0.25">
      <c r="A4962" t="s">
        <v>661</v>
      </c>
      <c r="B4962" t="s">
        <v>117</v>
      </c>
      <c r="C4962" s="2">
        <f>HYPERLINK("https://sao.dolgi.msk.ru/account/1404254685/", 1404254685)</f>
        <v>1404254685</v>
      </c>
      <c r="D4962">
        <v>0</v>
      </c>
    </row>
    <row r="4963" spans="1:4" x14ac:dyDescent="0.25">
      <c r="A4963" t="s">
        <v>661</v>
      </c>
      <c r="B4963" t="s">
        <v>118</v>
      </c>
      <c r="C4963" s="2">
        <f>HYPERLINK("https://sao.dolgi.msk.ru/account/1404254693/", 1404254693)</f>
        <v>1404254693</v>
      </c>
      <c r="D4963">
        <v>2140.4699999999998</v>
      </c>
    </row>
    <row r="4964" spans="1:4" hidden="1" x14ac:dyDescent="0.25">
      <c r="A4964" t="s">
        <v>661</v>
      </c>
      <c r="B4964" t="s">
        <v>119</v>
      </c>
      <c r="C4964" s="2">
        <f>HYPERLINK("https://sao.dolgi.msk.ru/account/1404254984/", 1404254984)</f>
        <v>1404254984</v>
      </c>
      <c r="D4964">
        <v>-6048.63</v>
      </c>
    </row>
    <row r="4965" spans="1:4" hidden="1" x14ac:dyDescent="0.25">
      <c r="A4965" t="s">
        <v>661</v>
      </c>
      <c r="B4965" t="s">
        <v>120</v>
      </c>
      <c r="C4965" s="2">
        <f>HYPERLINK("https://sao.dolgi.msk.ru/account/1404256621/", 1404256621)</f>
        <v>1404256621</v>
      </c>
      <c r="D4965">
        <v>-5546.68</v>
      </c>
    </row>
    <row r="4966" spans="1:4" hidden="1" x14ac:dyDescent="0.25">
      <c r="A4966" t="s">
        <v>661</v>
      </c>
      <c r="B4966" t="s">
        <v>121</v>
      </c>
      <c r="C4966" s="2">
        <f>HYPERLINK("https://sao.dolgi.msk.ru/account/1404256648/", 1404256648)</f>
        <v>1404256648</v>
      </c>
      <c r="D4966">
        <v>-6118.2</v>
      </c>
    </row>
    <row r="4967" spans="1:4" hidden="1" x14ac:dyDescent="0.25">
      <c r="A4967" t="s">
        <v>661</v>
      </c>
      <c r="B4967" t="s">
        <v>122</v>
      </c>
      <c r="C4967" s="2">
        <f>HYPERLINK("https://sao.dolgi.msk.ru/account/1404255936/", 1404255936)</f>
        <v>1404255936</v>
      </c>
      <c r="D4967">
        <v>-6452.51</v>
      </c>
    </row>
    <row r="4968" spans="1:4" x14ac:dyDescent="0.25">
      <c r="A4968" t="s">
        <v>661</v>
      </c>
      <c r="B4968" t="s">
        <v>123</v>
      </c>
      <c r="C4968" s="2">
        <f>HYPERLINK("https://sao.dolgi.msk.ru/account/1404255661/", 1404255661)</f>
        <v>1404255661</v>
      </c>
      <c r="D4968">
        <v>1988.16</v>
      </c>
    </row>
    <row r="4969" spans="1:4" hidden="1" x14ac:dyDescent="0.25">
      <c r="A4969" t="s">
        <v>661</v>
      </c>
      <c r="B4969" t="s">
        <v>124</v>
      </c>
      <c r="C4969" s="2">
        <f>HYPERLINK("https://sao.dolgi.msk.ru/account/1404254415/", 1404254415)</f>
        <v>1404254415</v>
      </c>
      <c r="D4969">
        <v>-6426.02</v>
      </c>
    </row>
    <row r="4970" spans="1:4" hidden="1" x14ac:dyDescent="0.25">
      <c r="A4970" t="s">
        <v>661</v>
      </c>
      <c r="B4970" t="s">
        <v>125</v>
      </c>
      <c r="C4970" s="2">
        <f>HYPERLINK("https://sao.dolgi.msk.ru/account/1404254992/", 1404254992)</f>
        <v>1404254992</v>
      </c>
      <c r="D4970">
        <v>-7275.52</v>
      </c>
    </row>
    <row r="4971" spans="1:4" hidden="1" x14ac:dyDescent="0.25">
      <c r="A4971" t="s">
        <v>661</v>
      </c>
      <c r="B4971" t="s">
        <v>125</v>
      </c>
      <c r="C4971" s="2">
        <f>HYPERLINK("https://sao.dolgi.msk.ru/account/1404255207/", 1404255207)</f>
        <v>1404255207</v>
      </c>
      <c r="D4971">
        <v>0</v>
      </c>
    </row>
    <row r="4972" spans="1:4" hidden="1" x14ac:dyDescent="0.25">
      <c r="A4972" t="s">
        <v>661</v>
      </c>
      <c r="B4972" t="s">
        <v>126</v>
      </c>
      <c r="C4972" s="2">
        <f>HYPERLINK("https://sao.dolgi.msk.ru/account/1404256576/", 1404256576)</f>
        <v>1404256576</v>
      </c>
      <c r="D4972">
        <v>0</v>
      </c>
    </row>
    <row r="4973" spans="1:4" hidden="1" x14ac:dyDescent="0.25">
      <c r="A4973" t="s">
        <v>661</v>
      </c>
      <c r="B4973" t="s">
        <v>127</v>
      </c>
      <c r="C4973" s="2">
        <f>HYPERLINK("https://sao.dolgi.msk.ru/account/1404255311/", 1404255311)</f>
        <v>1404255311</v>
      </c>
      <c r="D4973">
        <v>-4216.04</v>
      </c>
    </row>
    <row r="4974" spans="1:4" hidden="1" x14ac:dyDescent="0.25">
      <c r="A4974" t="s">
        <v>661</v>
      </c>
      <c r="B4974" t="s">
        <v>128</v>
      </c>
      <c r="C4974" s="2">
        <f>HYPERLINK("https://sao.dolgi.msk.ru/account/1404255864/", 1404255864)</f>
        <v>1404255864</v>
      </c>
      <c r="D4974">
        <v>-7665.96</v>
      </c>
    </row>
    <row r="4975" spans="1:4" hidden="1" x14ac:dyDescent="0.25">
      <c r="A4975" t="s">
        <v>661</v>
      </c>
      <c r="B4975" t="s">
        <v>129</v>
      </c>
      <c r="C4975" s="2">
        <f>HYPERLINK("https://sao.dolgi.msk.ru/account/1404255338/", 1404255338)</f>
        <v>1404255338</v>
      </c>
      <c r="D4975">
        <v>-9180.74</v>
      </c>
    </row>
    <row r="4976" spans="1:4" hidden="1" x14ac:dyDescent="0.25">
      <c r="A4976" t="s">
        <v>661</v>
      </c>
      <c r="B4976" t="s">
        <v>130</v>
      </c>
      <c r="C4976" s="2">
        <f>HYPERLINK("https://sao.dolgi.msk.ru/account/1404254669/", 1404254669)</f>
        <v>1404254669</v>
      </c>
      <c r="D4976">
        <v>0</v>
      </c>
    </row>
    <row r="4977" spans="1:4" hidden="1" x14ac:dyDescent="0.25">
      <c r="A4977" t="s">
        <v>661</v>
      </c>
      <c r="B4977" t="s">
        <v>131</v>
      </c>
      <c r="C4977" s="2">
        <f>HYPERLINK("https://sao.dolgi.msk.ru/account/1404256584/", 1404256584)</f>
        <v>1404256584</v>
      </c>
      <c r="D4977">
        <v>0</v>
      </c>
    </row>
    <row r="4978" spans="1:4" hidden="1" x14ac:dyDescent="0.25">
      <c r="A4978" t="s">
        <v>661</v>
      </c>
      <c r="B4978" t="s">
        <v>132</v>
      </c>
      <c r="C4978" s="2">
        <f>HYPERLINK("https://sao.dolgi.msk.ru/account/1404255629/", 1404255629)</f>
        <v>1404255629</v>
      </c>
      <c r="D4978">
        <v>-5503.01</v>
      </c>
    </row>
    <row r="4979" spans="1:4" hidden="1" x14ac:dyDescent="0.25">
      <c r="A4979" t="s">
        <v>661</v>
      </c>
      <c r="B4979" t="s">
        <v>133</v>
      </c>
      <c r="C4979" s="2">
        <f>HYPERLINK("https://sao.dolgi.msk.ru/account/1404255872/", 1404255872)</f>
        <v>1404255872</v>
      </c>
      <c r="D4979">
        <v>-7152.95</v>
      </c>
    </row>
    <row r="4980" spans="1:4" hidden="1" x14ac:dyDescent="0.25">
      <c r="A4980" t="s">
        <v>661</v>
      </c>
      <c r="B4980" t="s">
        <v>134</v>
      </c>
      <c r="C4980" s="2">
        <f>HYPERLINK("https://sao.dolgi.msk.ru/account/1404256592/", 1404256592)</f>
        <v>1404256592</v>
      </c>
      <c r="D4980">
        <v>0</v>
      </c>
    </row>
    <row r="4981" spans="1:4" hidden="1" x14ac:dyDescent="0.25">
      <c r="A4981" t="s">
        <v>661</v>
      </c>
      <c r="B4981" t="s">
        <v>135</v>
      </c>
      <c r="C4981" s="2">
        <f>HYPERLINK("https://sao.dolgi.msk.ru/account/1404254941/", 1404254941)</f>
        <v>1404254941</v>
      </c>
      <c r="D4981">
        <v>0</v>
      </c>
    </row>
    <row r="4982" spans="1:4" hidden="1" x14ac:dyDescent="0.25">
      <c r="A4982" t="s">
        <v>661</v>
      </c>
      <c r="B4982" t="s">
        <v>136</v>
      </c>
      <c r="C4982" s="2">
        <f>HYPERLINK("https://sao.dolgi.msk.ru/account/1404254394/", 1404254394)</f>
        <v>1404254394</v>
      </c>
      <c r="D4982">
        <v>-6032.94</v>
      </c>
    </row>
    <row r="4983" spans="1:4" hidden="1" x14ac:dyDescent="0.25">
      <c r="A4983" t="s">
        <v>661</v>
      </c>
      <c r="B4983" t="s">
        <v>137</v>
      </c>
      <c r="C4983" s="2">
        <f>HYPERLINK("https://sao.dolgi.msk.ru/account/1404255231/", 1404255231)</f>
        <v>1404255231</v>
      </c>
      <c r="D4983">
        <v>0</v>
      </c>
    </row>
    <row r="4984" spans="1:4" x14ac:dyDescent="0.25">
      <c r="A4984" t="s">
        <v>661</v>
      </c>
      <c r="B4984" t="s">
        <v>138</v>
      </c>
      <c r="C4984" s="2">
        <f>HYPERLINK("https://sao.dolgi.msk.ru/account/1404254407/", 1404254407)</f>
        <v>1404254407</v>
      </c>
      <c r="D4984">
        <v>2504.0100000000002</v>
      </c>
    </row>
    <row r="4985" spans="1:4" x14ac:dyDescent="0.25">
      <c r="A4985" t="s">
        <v>661</v>
      </c>
      <c r="B4985" t="s">
        <v>139</v>
      </c>
      <c r="C4985" s="2">
        <f>HYPERLINK("https://sao.dolgi.msk.ru/account/1404255899/", 1404255899)</f>
        <v>1404255899</v>
      </c>
      <c r="D4985">
        <v>26879.54</v>
      </c>
    </row>
    <row r="4986" spans="1:4" hidden="1" x14ac:dyDescent="0.25">
      <c r="A4986" t="s">
        <v>661</v>
      </c>
      <c r="B4986" t="s">
        <v>140</v>
      </c>
      <c r="C4986" s="2">
        <f>HYPERLINK("https://sao.dolgi.msk.ru/account/1404255637/", 1404255637)</f>
        <v>1404255637</v>
      </c>
      <c r="D4986">
        <v>-7373.14</v>
      </c>
    </row>
    <row r="4987" spans="1:4" x14ac:dyDescent="0.25">
      <c r="A4987" t="s">
        <v>661</v>
      </c>
      <c r="B4987" t="s">
        <v>141</v>
      </c>
      <c r="C4987" s="2">
        <f>HYPERLINK("https://sao.dolgi.msk.ru/account/1404255901/", 1404255901)</f>
        <v>1404255901</v>
      </c>
      <c r="D4987">
        <v>13497.77</v>
      </c>
    </row>
    <row r="4988" spans="1:4" hidden="1" x14ac:dyDescent="0.25">
      <c r="A4988" t="s">
        <v>661</v>
      </c>
      <c r="B4988" t="s">
        <v>142</v>
      </c>
      <c r="C4988" s="2">
        <f>HYPERLINK("https://sao.dolgi.msk.ru/account/1404256605/", 1404256605)</f>
        <v>1404256605</v>
      </c>
      <c r="D4988">
        <v>-3154.02</v>
      </c>
    </row>
    <row r="4989" spans="1:4" hidden="1" x14ac:dyDescent="0.25">
      <c r="A4989" t="s">
        <v>661</v>
      </c>
      <c r="B4989" t="s">
        <v>143</v>
      </c>
      <c r="C4989" s="2">
        <f>HYPERLINK("https://sao.dolgi.msk.ru/account/1404255258/", 1404255258)</f>
        <v>1404255258</v>
      </c>
      <c r="D4989">
        <v>-15130.11</v>
      </c>
    </row>
    <row r="4990" spans="1:4" hidden="1" x14ac:dyDescent="0.25">
      <c r="A4990" t="s">
        <v>661</v>
      </c>
      <c r="B4990" t="s">
        <v>144</v>
      </c>
      <c r="C4990" s="2">
        <f>HYPERLINK("https://sao.dolgi.msk.ru/account/1404256496/", 1404256496)</f>
        <v>1404256496</v>
      </c>
      <c r="D4990">
        <v>0</v>
      </c>
    </row>
    <row r="4991" spans="1:4" hidden="1" x14ac:dyDescent="0.25">
      <c r="A4991" t="s">
        <v>661</v>
      </c>
      <c r="B4991" t="s">
        <v>145</v>
      </c>
      <c r="C4991" s="2">
        <f>HYPERLINK("https://sao.dolgi.msk.ru/account/1404256883/", 1404256883)</f>
        <v>1404256883</v>
      </c>
      <c r="D4991">
        <v>0</v>
      </c>
    </row>
    <row r="4992" spans="1:4" hidden="1" x14ac:dyDescent="0.25">
      <c r="A4992" t="s">
        <v>661</v>
      </c>
      <c r="B4992" t="s">
        <v>146</v>
      </c>
      <c r="C4992" s="2">
        <f>HYPERLINK("https://sao.dolgi.msk.ru/account/1404255354/", 1404255354)</f>
        <v>1404255354</v>
      </c>
      <c r="D4992">
        <v>-3806.99</v>
      </c>
    </row>
    <row r="4993" spans="1:4" hidden="1" x14ac:dyDescent="0.25">
      <c r="A4993" t="s">
        <v>661</v>
      </c>
      <c r="B4993" t="s">
        <v>147</v>
      </c>
      <c r="C4993" s="2">
        <f>HYPERLINK("https://sao.dolgi.msk.ru/account/1404254677/", 1404254677)</f>
        <v>1404254677</v>
      </c>
      <c r="D4993">
        <v>-7483.33</v>
      </c>
    </row>
    <row r="4994" spans="1:4" hidden="1" x14ac:dyDescent="0.25">
      <c r="A4994" t="s">
        <v>661</v>
      </c>
      <c r="B4994" t="s">
        <v>148</v>
      </c>
      <c r="C4994" s="2">
        <f>HYPERLINK("https://sao.dolgi.msk.ru/account/1404254968/", 1404254968)</f>
        <v>1404254968</v>
      </c>
      <c r="D4994">
        <v>-5893.27</v>
      </c>
    </row>
    <row r="4995" spans="1:4" x14ac:dyDescent="0.25">
      <c r="A4995" t="s">
        <v>661</v>
      </c>
      <c r="B4995" t="s">
        <v>149</v>
      </c>
      <c r="C4995" s="2">
        <f>HYPERLINK("https://sao.dolgi.msk.ru/account/1404255215/", 1404255215)</f>
        <v>1404255215</v>
      </c>
      <c r="D4995">
        <v>51614.1</v>
      </c>
    </row>
    <row r="4996" spans="1:4" hidden="1" x14ac:dyDescent="0.25">
      <c r="A4996" t="s">
        <v>661</v>
      </c>
      <c r="B4996" t="s">
        <v>150</v>
      </c>
      <c r="C4996" s="2">
        <f>HYPERLINK("https://sao.dolgi.msk.ru/account/1404255223/", 1404255223)</f>
        <v>1404255223</v>
      </c>
      <c r="D4996">
        <v>-3386.62</v>
      </c>
    </row>
    <row r="4997" spans="1:4" hidden="1" x14ac:dyDescent="0.25">
      <c r="A4997" t="s">
        <v>661</v>
      </c>
      <c r="B4997" t="s">
        <v>151</v>
      </c>
      <c r="C4997" s="2">
        <f>HYPERLINK("https://sao.dolgi.msk.ru/account/1404255565/", 1404255565)</f>
        <v>1404255565</v>
      </c>
      <c r="D4997">
        <v>-5956.9</v>
      </c>
    </row>
    <row r="4998" spans="1:4" hidden="1" x14ac:dyDescent="0.25">
      <c r="A4998" t="s">
        <v>661</v>
      </c>
      <c r="B4998" t="s">
        <v>152</v>
      </c>
      <c r="C4998" s="2">
        <f>HYPERLINK("https://sao.dolgi.msk.ru/account/1404254896/", 1404254896)</f>
        <v>1404254896</v>
      </c>
      <c r="D4998">
        <v>-8775.7900000000009</v>
      </c>
    </row>
    <row r="4999" spans="1:4" hidden="1" x14ac:dyDescent="0.25">
      <c r="A4999" t="s">
        <v>661</v>
      </c>
      <c r="B4999" t="s">
        <v>153</v>
      </c>
      <c r="C4999" s="2">
        <f>HYPERLINK("https://sao.dolgi.msk.ru/account/1404256461/", 1404256461)</f>
        <v>1404256461</v>
      </c>
      <c r="D4999">
        <v>-9794.98</v>
      </c>
    </row>
    <row r="5000" spans="1:4" x14ac:dyDescent="0.25">
      <c r="A5000" t="s">
        <v>661</v>
      </c>
      <c r="B5000" t="s">
        <v>154</v>
      </c>
      <c r="C5000" s="2">
        <f>HYPERLINK("https://sao.dolgi.msk.ru/account/1404255848/", 1404255848)</f>
        <v>1404255848</v>
      </c>
      <c r="D5000">
        <v>22497.56</v>
      </c>
    </row>
    <row r="5001" spans="1:4" hidden="1" x14ac:dyDescent="0.25">
      <c r="A5001" t="s">
        <v>661</v>
      </c>
      <c r="B5001" t="s">
        <v>155</v>
      </c>
      <c r="C5001" s="2">
        <f>HYPERLINK("https://sao.dolgi.msk.ru/account/1404254888/", 1404254888)</f>
        <v>1404254888</v>
      </c>
      <c r="D5001">
        <v>-4899.9399999999996</v>
      </c>
    </row>
    <row r="5002" spans="1:4" hidden="1" x14ac:dyDescent="0.25">
      <c r="A5002" t="s">
        <v>661</v>
      </c>
      <c r="B5002" t="s">
        <v>156</v>
      </c>
      <c r="C5002" s="2">
        <f>HYPERLINK("https://sao.dolgi.msk.ru/account/1404255194/", 1404255194)</f>
        <v>1404255194</v>
      </c>
      <c r="D5002">
        <v>-10135.91</v>
      </c>
    </row>
    <row r="5003" spans="1:4" x14ac:dyDescent="0.25">
      <c r="A5003" t="s">
        <v>661</v>
      </c>
      <c r="B5003" t="s">
        <v>157</v>
      </c>
      <c r="C5003" s="2">
        <f>HYPERLINK("https://sao.dolgi.msk.ru/account/1404255821/", 1404255821)</f>
        <v>1404255821</v>
      </c>
      <c r="D5003">
        <v>20005.21</v>
      </c>
    </row>
    <row r="5004" spans="1:4" hidden="1" x14ac:dyDescent="0.25">
      <c r="A5004" t="s">
        <v>661</v>
      </c>
      <c r="B5004" t="s">
        <v>158</v>
      </c>
      <c r="C5004" s="2">
        <f>HYPERLINK("https://sao.dolgi.msk.ru/account/1404255557/", 1404255557)</f>
        <v>1404255557</v>
      </c>
      <c r="D5004">
        <v>-4281.6499999999996</v>
      </c>
    </row>
    <row r="5005" spans="1:4" hidden="1" x14ac:dyDescent="0.25">
      <c r="A5005" t="s">
        <v>661</v>
      </c>
      <c r="B5005" t="s">
        <v>159</v>
      </c>
      <c r="C5005" s="2">
        <f>HYPERLINK("https://sao.dolgi.msk.ru/account/1404254861/", 1404254861)</f>
        <v>1404254861</v>
      </c>
      <c r="D5005">
        <v>-3908.21</v>
      </c>
    </row>
    <row r="5006" spans="1:4" hidden="1" x14ac:dyDescent="0.25">
      <c r="A5006" t="s">
        <v>661</v>
      </c>
      <c r="B5006" t="s">
        <v>160</v>
      </c>
      <c r="C5006" s="2">
        <f>HYPERLINK("https://sao.dolgi.msk.ru/account/1404255282/", 1404255282)</f>
        <v>1404255282</v>
      </c>
      <c r="D5006">
        <v>0</v>
      </c>
    </row>
    <row r="5007" spans="1:4" x14ac:dyDescent="0.25">
      <c r="A5007" t="s">
        <v>661</v>
      </c>
      <c r="B5007" t="s">
        <v>161</v>
      </c>
      <c r="C5007" s="2">
        <f>HYPERLINK("https://sao.dolgi.msk.ru/account/1404256533/", 1404256533)</f>
        <v>1404256533</v>
      </c>
      <c r="D5007">
        <v>3527.11</v>
      </c>
    </row>
    <row r="5008" spans="1:4" hidden="1" x14ac:dyDescent="0.25">
      <c r="A5008" t="s">
        <v>661</v>
      </c>
      <c r="B5008" t="s">
        <v>162</v>
      </c>
      <c r="C5008" s="2">
        <f>HYPERLINK("https://sao.dolgi.msk.ru/account/1404254343/", 1404254343)</f>
        <v>1404254343</v>
      </c>
      <c r="D5008">
        <v>-7069.39</v>
      </c>
    </row>
    <row r="5009" spans="1:4" hidden="1" x14ac:dyDescent="0.25">
      <c r="A5009" t="s">
        <v>661</v>
      </c>
      <c r="B5009" t="s">
        <v>163</v>
      </c>
      <c r="C5009" s="2">
        <f>HYPERLINK("https://sao.dolgi.msk.ru/account/1404256541/", 1404256541)</f>
        <v>1404256541</v>
      </c>
      <c r="D5009">
        <v>-5530.43</v>
      </c>
    </row>
    <row r="5010" spans="1:4" hidden="1" x14ac:dyDescent="0.25">
      <c r="A5010" t="s">
        <v>661</v>
      </c>
      <c r="B5010" t="s">
        <v>164</v>
      </c>
      <c r="C5010" s="2">
        <f>HYPERLINK("https://sao.dolgi.msk.ru/account/1404255581/", 1404255581)</f>
        <v>1404255581</v>
      </c>
      <c r="D5010">
        <v>-9816.2900000000009</v>
      </c>
    </row>
    <row r="5011" spans="1:4" hidden="1" x14ac:dyDescent="0.25">
      <c r="A5011" t="s">
        <v>661</v>
      </c>
      <c r="B5011" t="s">
        <v>165</v>
      </c>
      <c r="C5011" s="2">
        <f>HYPERLINK("https://sao.dolgi.msk.ru/account/1404255303/", 1404255303)</f>
        <v>1404255303</v>
      </c>
      <c r="D5011">
        <v>-6922.39</v>
      </c>
    </row>
    <row r="5012" spans="1:4" hidden="1" x14ac:dyDescent="0.25">
      <c r="A5012" t="s">
        <v>661</v>
      </c>
      <c r="B5012" t="s">
        <v>166</v>
      </c>
      <c r="C5012" s="2">
        <f>HYPERLINK("https://sao.dolgi.msk.ru/account/1404254925/", 1404254925)</f>
        <v>1404254925</v>
      </c>
      <c r="D5012">
        <v>-6329.93</v>
      </c>
    </row>
    <row r="5013" spans="1:4" hidden="1" x14ac:dyDescent="0.25">
      <c r="A5013" t="s">
        <v>661</v>
      </c>
      <c r="B5013" t="s">
        <v>167</v>
      </c>
      <c r="C5013" s="2">
        <f>HYPERLINK("https://sao.dolgi.msk.ru/account/1404255602/", 1404255602)</f>
        <v>1404255602</v>
      </c>
      <c r="D5013">
        <v>0</v>
      </c>
    </row>
    <row r="5014" spans="1:4" x14ac:dyDescent="0.25">
      <c r="A5014" t="s">
        <v>661</v>
      </c>
      <c r="B5014" t="s">
        <v>168</v>
      </c>
      <c r="C5014" s="2">
        <f>HYPERLINK("https://sao.dolgi.msk.ru/account/1404254351/", 1404254351)</f>
        <v>1404254351</v>
      </c>
      <c r="D5014">
        <v>796.18</v>
      </c>
    </row>
    <row r="5015" spans="1:4" hidden="1" x14ac:dyDescent="0.25">
      <c r="A5015" t="s">
        <v>661</v>
      </c>
      <c r="B5015" t="s">
        <v>169</v>
      </c>
      <c r="C5015" s="2">
        <f>HYPERLINK("https://sao.dolgi.msk.ru/account/1404256218/", 1404256218)</f>
        <v>1404256218</v>
      </c>
      <c r="D5015">
        <v>-4124.84</v>
      </c>
    </row>
    <row r="5016" spans="1:4" hidden="1" x14ac:dyDescent="0.25">
      <c r="A5016" t="s">
        <v>661</v>
      </c>
      <c r="B5016" t="s">
        <v>170</v>
      </c>
      <c r="C5016" s="2">
        <f>HYPERLINK("https://sao.dolgi.msk.ru/account/1404254634/", 1404254634)</f>
        <v>1404254634</v>
      </c>
      <c r="D5016">
        <v>-2902.02</v>
      </c>
    </row>
    <row r="5017" spans="1:4" hidden="1" x14ac:dyDescent="0.25">
      <c r="A5017" t="s">
        <v>661</v>
      </c>
      <c r="B5017" t="s">
        <v>170</v>
      </c>
      <c r="C5017" s="2">
        <f>HYPERLINK("https://sao.dolgi.msk.ru/account/1404254933/", 1404254933)</f>
        <v>1404254933</v>
      </c>
      <c r="D5017">
        <v>0</v>
      </c>
    </row>
    <row r="5018" spans="1:4" hidden="1" x14ac:dyDescent="0.25">
      <c r="A5018" t="s">
        <v>661</v>
      </c>
      <c r="B5018" t="s">
        <v>171</v>
      </c>
      <c r="C5018" s="2">
        <f>HYPERLINK("https://sao.dolgi.msk.ru/account/1404254642/", 1404254642)</f>
        <v>1404254642</v>
      </c>
      <c r="D5018">
        <v>-4607.8999999999996</v>
      </c>
    </row>
    <row r="5019" spans="1:4" hidden="1" x14ac:dyDescent="0.25">
      <c r="A5019" t="s">
        <v>661</v>
      </c>
      <c r="B5019" t="s">
        <v>172</v>
      </c>
      <c r="C5019" s="2">
        <f>HYPERLINK("https://sao.dolgi.msk.ru/account/1404256226/", 1404256226)</f>
        <v>1404256226</v>
      </c>
      <c r="D5019">
        <v>-6247.04</v>
      </c>
    </row>
    <row r="5020" spans="1:4" hidden="1" x14ac:dyDescent="0.25">
      <c r="A5020" t="s">
        <v>661</v>
      </c>
      <c r="B5020" t="s">
        <v>173</v>
      </c>
      <c r="C5020" s="2">
        <f>HYPERLINK("https://sao.dolgi.msk.ru/account/1404256568/", 1404256568)</f>
        <v>1404256568</v>
      </c>
      <c r="D5020">
        <v>0</v>
      </c>
    </row>
    <row r="5021" spans="1:4" x14ac:dyDescent="0.25">
      <c r="A5021" t="s">
        <v>661</v>
      </c>
      <c r="B5021" t="s">
        <v>174</v>
      </c>
      <c r="C5021" s="2">
        <f>HYPERLINK("https://sao.dolgi.msk.ru/account/1404255995/", 1404255995)</f>
        <v>1404255995</v>
      </c>
      <c r="D5021">
        <v>19128.740000000002</v>
      </c>
    </row>
    <row r="5022" spans="1:4" hidden="1" x14ac:dyDescent="0.25">
      <c r="A5022" t="s">
        <v>661</v>
      </c>
      <c r="B5022" t="s">
        <v>175</v>
      </c>
      <c r="C5022" s="2">
        <f>HYPERLINK("https://sao.dolgi.msk.ru/account/1404254378/", 1404254378)</f>
        <v>1404254378</v>
      </c>
      <c r="D5022">
        <v>0</v>
      </c>
    </row>
    <row r="5023" spans="1:4" x14ac:dyDescent="0.25">
      <c r="A5023" t="s">
        <v>661</v>
      </c>
      <c r="B5023" t="s">
        <v>176</v>
      </c>
      <c r="C5023" s="2">
        <f>HYPERLINK("https://sao.dolgi.msk.ru/account/1404256875/", 1404256875)</f>
        <v>1404256875</v>
      </c>
      <c r="D5023">
        <v>1399.62</v>
      </c>
    </row>
    <row r="5024" spans="1:4" x14ac:dyDescent="0.25">
      <c r="A5024" t="s">
        <v>661</v>
      </c>
      <c r="B5024" t="s">
        <v>177</v>
      </c>
      <c r="C5024" s="2">
        <f>HYPERLINK("https://sao.dolgi.msk.ru/account/1404256007/", 1404256007)</f>
        <v>1404256007</v>
      </c>
      <c r="D5024">
        <v>35643.440000000002</v>
      </c>
    </row>
    <row r="5025" spans="1:4" hidden="1" x14ac:dyDescent="0.25">
      <c r="A5025" t="s">
        <v>661</v>
      </c>
      <c r="B5025" t="s">
        <v>178</v>
      </c>
      <c r="C5025" s="2">
        <f>HYPERLINK("https://sao.dolgi.msk.ru/account/1404256322/", 1404256322)</f>
        <v>1404256322</v>
      </c>
      <c r="D5025">
        <v>0</v>
      </c>
    </row>
    <row r="5026" spans="1:4" hidden="1" x14ac:dyDescent="0.25">
      <c r="A5026" t="s">
        <v>661</v>
      </c>
      <c r="B5026" t="s">
        <v>179</v>
      </c>
      <c r="C5026" s="2">
        <f>HYPERLINK("https://sao.dolgi.msk.ru/account/1404255418/", 1404255418)</f>
        <v>1404255418</v>
      </c>
      <c r="D5026">
        <v>-5329.59</v>
      </c>
    </row>
    <row r="5027" spans="1:4" hidden="1" x14ac:dyDescent="0.25">
      <c r="A5027" t="s">
        <v>661</v>
      </c>
      <c r="B5027" t="s">
        <v>180</v>
      </c>
      <c r="C5027" s="2">
        <f>HYPERLINK("https://sao.dolgi.msk.ru/account/1404254458/", 1404254458)</f>
        <v>1404254458</v>
      </c>
      <c r="D5027">
        <v>-6232.41</v>
      </c>
    </row>
    <row r="5028" spans="1:4" hidden="1" x14ac:dyDescent="0.25">
      <c r="A5028" t="s">
        <v>661</v>
      </c>
      <c r="B5028" t="s">
        <v>181</v>
      </c>
      <c r="C5028" s="2">
        <f>HYPERLINK("https://sao.dolgi.msk.ru/account/1404256701/", 1404256701)</f>
        <v>1404256701</v>
      </c>
      <c r="D5028">
        <v>-15101.81</v>
      </c>
    </row>
    <row r="5029" spans="1:4" x14ac:dyDescent="0.25">
      <c r="A5029" t="s">
        <v>661</v>
      </c>
      <c r="B5029" t="s">
        <v>182</v>
      </c>
      <c r="C5029" s="2">
        <f>HYPERLINK("https://sao.dolgi.msk.ru/account/1404256728/", 1404256728)</f>
        <v>1404256728</v>
      </c>
      <c r="D5029">
        <v>38556.19</v>
      </c>
    </row>
    <row r="5030" spans="1:4" hidden="1" x14ac:dyDescent="0.25">
      <c r="A5030" t="s">
        <v>661</v>
      </c>
      <c r="B5030" t="s">
        <v>183</v>
      </c>
      <c r="C5030" s="2">
        <f>HYPERLINK("https://sao.dolgi.msk.ru/account/1404255426/", 1404255426)</f>
        <v>1404255426</v>
      </c>
      <c r="D5030">
        <v>-7251.19</v>
      </c>
    </row>
    <row r="5031" spans="1:4" hidden="1" x14ac:dyDescent="0.25">
      <c r="A5031" t="s">
        <v>661</v>
      </c>
      <c r="B5031" t="s">
        <v>184</v>
      </c>
      <c r="C5031" s="2">
        <f>HYPERLINK("https://sao.dolgi.msk.ru/account/1404255063/", 1404255063)</f>
        <v>1404255063</v>
      </c>
      <c r="D5031">
        <v>-6897.9</v>
      </c>
    </row>
    <row r="5032" spans="1:4" hidden="1" x14ac:dyDescent="0.25">
      <c r="A5032" t="s">
        <v>661</v>
      </c>
      <c r="B5032" t="s">
        <v>185</v>
      </c>
      <c r="C5032" s="2">
        <f>HYPERLINK("https://sao.dolgi.msk.ru/account/1404255071/", 1404255071)</f>
        <v>1404255071</v>
      </c>
      <c r="D5032">
        <v>-6686.46</v>
      </c>
    </row>
    <row r="5033" spans="1:4" hidden="1" x14ac:dyDescent="0.25">
      <c r="A5033" t="s">
        <v>661</v>
      </c>
      <c r="B5033" t="s">
        <v>186</v>
      </c>
      <c r="C5033" s="2">
        <f>HYPERLINK("https://sao.dolgi.msk.ru/account/1404256787/", 1404256787)</f>
        <v>1404256787</v>
      </c>
      <c r="D5033">
        <v>-5678.95</v>
      </c>
    </row>
    <row r="5034" spans="1:4" x14ac:dyDescent="0.25">
      <c r="A5034" t="s">
        <v>661</v>
      </c>
      <c r="B5034" t="s">
        <v>187</v>
      </c>
      <c r="C5034" s="2">
        <f>HYPERLINK("https://sao.dolgi.msk.ru/account/1404256074/", 1404256074)</f>
        <v>1404256074</v>
      </c>
      <c r="D5034">
        <v>1810.79</v>
      </c>
    </row>
    <row r="5035" spans="1:4" x14ac:dyDescent="0.25">
      <c r="A5035" t="s">
        <v>661</v>
      </c>
      <c r="B5035" t="s">
        <v>188</v>
      </c>
      <c r="C5035" s="2">
        <f>HYPERLINK("https://sao.dolgi.msk.ru/account/1404254917/", 1404254917)</f>
        <v>1404254917</v>
      </c>
      <c r="D5035">
        <v>23665.79</v>
      </c>
    </row>
    <row r="5036" spans="1:4" x14ac:dyDescent="0.25">
      <c r="A5036" t="s">
        <v>661</v>
      </c>
      <c r="B5036" t="s">
        <v>189</v>
      </c>
      <c r="C5036" s="2">
        <f>HYPERLINK("https://sao.dolgi.msk.ru/account/1404254773/", 1404254773)</f>
        <v>1404254773</v>
      </c>
      <c r="D5036">
        <v>2873.86</v>
      </c>
    </row>
    <row r="5037" spans="1:4" x14ac:dyDescent="0.25">
      <c r="A5037" t="s">
        <v>661</v>
      </c>
      <c r="B5037" t="s">
        <v>190</v>
      </c>
      <c r="C5037" s="2">
        <f>HYPERLINK("https://sao.dolgi.msk.ru/account/1404256082/", 1404256082)</f>
        <v>1404256082</v>
      </c>
      <c r="D5037">
        <v>12356.66</v>
      </c>
    </row>
    <row r="5038" spans="1:4" x14ac:dyDescent="0.25">
      <c r="A5038" t="s">
        <v>661</v>
      </c>
      <c r="B5038" t="s">
        <v>191</v>
      </c>
      <c r="C5038" s="2">
        <f>HYPERLINK("https://sao.dolgi.msk.ru/account/1404256103/", 1404256103)</f>
        <v>1404256103</v>
      </c>
      <c r="D5038">
        <v>132132.94</v>
      </c>
    </row>
    <row r="5039" spans="1:4" hidden="1" x14ac:dyDescent="0.25">
      <c r="A5039" t="s">
        <v>661</v>
      </c>
      <c r="B5039" t="s">
        <v>192</v>
      </c>
      <c r="C5039" s="2">
        <f>HYPERLINK("https://sao.dolgi.msk.ru/account/1404256373/", 1404256373)</f>
        <v>1404256373</v>
      </c>
      <c r="D5039">
        <v>0</v>
      </c>
    </row>
    <row r="5040" spans="1:4" hidden="1" x14ac:dyDescent="0.25">
      <c r="A5040" t="s">
        <v>661</v>
      </c>
      <c r="B5040" t="s">
        <v>193</v>
      </c>
      <c r="C5040" s="2">
        <f>HYPERLINK("https://sao.dolgi.msk.ru/account/1404255477/", 1404255477)</f>
        <v>1404255477</v>
      </c>
      <c r="D5040">
        <v>0</v>
      </c>
    </row>
    <row r="5041" spans="1:4" hidden="1" x14ac:dyDescent="0.25">
      <c r="A5041" t="s">
        <v>661</v>
      </c>
      <c r="B5041" t="s">
        <v>194</v>
      </c>
      <c r="C5041" s="2">
        <f>HYPERLINK("https://sao.dolgi.msk.ru/account/1404254482/", 1404254482)</f>
        <v>1404254482</v>
      </c>
      <c r="D5041">
        <v>-1180.48</v>
      </c>
    </row>
    <row r="5042" spans="1:4" hidden="1" x14ac:dyDescent="0.25">
      <c r="A5042" t="s">
        <v>661</v>
      </c>
      <c r="B5042" t="s">
        <v>194</v>
      </c>
      <c r="C5042" s="2">
        <f>HYPERLINK("https://sao.dolgi.msk.ru/account/1404255098/", 1404255098)</f>
        <v>1404255098</v>
      </c>
      <c r="D5042">
        <v>-2392.54</v>
      </c>
    </row>
    <row r="5043" spans="1:4" x14ac:dyDescent="0.25">
      <c r="A5043" t="s">
        <v>661</v>
      </c>
      <c r="B5043" t="s">
        <v>195</v>
      </c>
      <c r="C5043" s="2">
        <f>HYPERLINK("https://sao.dolgi.msk.ru/account/1404255119/", 1404255119)</f>
        <v>1404255119</v>
      </c>
      <c r="D5043">
        <v>15164.96</v>
      </c>
    </row>
    <row r="5044" spans="1:4" x14ac:dyDescent="0.25">
      <c r="A5044" t="s">
        <v>661</v>
      </c>
      <c r="B5044" t="s">
        <v>196</v>
      </c>
      <c r="C5044" s="2">
        <f>HYPERLINK("https://sao.dolgi.msk.ru/account/1404254829/", 1404254829)</f>
        <v>1404254829</v>
      </c>
      <c r="D5044">
        <v>1461.49</v>
      </c>
    </row>
    <row r="5045" spans="1:4" hidden="1" x14ac:dyDescent="0.25">
      <c r="A5045" t="s">
        <v>661</v>
      </c>
      <c r="B5045" t="s">
        <v>197</v>
      </c>
      <c r="C5045" s="2">
        <f>HYPERLINK("https://sao.dolgi.msk.ru/account/1404255792/", 1404255792)</f>
        <v>1404255792</v>
      </c>
      <c r="D5045">
        <v>0</v>
      </c>
    </row>
    <row r="5046" spans="1:4" x14ac:dyDescent="0.25">
      <c r="A5046" t="s">
        <v>661</v>
      </c>
      <c r="B5046" t="s">
        <v>198</v>
      </c>
      <c r="C5046" s="2">
        <f>HYPERLINK("https://sao.dolgi.msk.ru/account/1404254538/", 1404254538)</f>
        <v>1404254538</v>
      </c>
      <c r="D5046">
        <v>8476.85</v>
      </c>
    </row>
    <row r="5047" spans="1:4" hidden="1" x14ac:dyDescent="0.25">
      <c r="A5047" t="s">
        <v>661</v>
      </c>
      <c r="B5047" t="s">
        <v>199</v>
      </c>
      <c r="C5047" s="2">
        <f>HYPERLINK("https://sao.dolgi.msk.ru/account/1404256138/", 1404256138)</f>
        <v>1404256138</v>
      </c>
      <c r="D5047">
        <v>-4193.24</v>
      </c>
    </row>
    <row r="5048" spans="1:4" hidden="1" x14ac:dyDescent="0.25">
      <c r="A5048" t="s">
        <v>661</v>
      </c>
      <c r="B5048" t="s">
        <v>200</v>
      </c>
      <c r="C5048" s="2">
        <f>HYPERLINK("https://sao.dolgi.msk.ru/account/1404256795/", 1404256795)</f>
        <v>1404256795</v>
      </c>
      <c r="D5048">
        <v>-263.47000000000003</v>
      </c>
    </row>
    <row r="5049" spans="1:4" x14ac:dyDescent="0.25">
      <c r="A5049" t="s">
        <v>661</v>
      </c>
      <c r="B5049" t="s">
        <v>201</v>
      </c>
      <c r="C5049" s="2">
        <f>HYPERLINK("https://sao.dolgi.msk.ru/account/1404255493/", 1404255493)</f>
        <v>1404255493</v>
      </c>
      <c r="D5049">
        <v>13844.78</v>
      </c>
    </row>
    <row r="5050" spans="1:4" hidden="1" x14ac:dyDescent="0.25">
      <c r="A5050" t="s">
        <v>661</v>
      </c>
      <c r="B5050" t="s">
        <v>202</v>
      </c>
      <c r="C5050" s="2">
        <f>HYPERLINK("https://sao.dolgi.msk.ru/account/1404256429/", 1404256429)</f>
        <v>1404256429</v>
      </c>
      <c r="D5050">
        <v>-5547.63</v>
      </c>
    </row>
    <row r="5051" spans="1:4" hidden="1" x14ac:dyDescent="0.25">
      <c r="A5051" t="s">
        <v>661</v>
      </c>
      <c r="B5051" t="s">
        <v>203</v>
      </c>
      <c r="C5051" s="2">
        <f>HYPERLINK("https://sao.dolgi.msk.ru/account/1404255805/", 1404255805)</f>
        <v>1404255805</v>
      </c>
      <c r="D5051">
        <v>-1127.1600000000001</v>
      </c>
    </row>
    <row r="5052" spans="1:4" x14ac:dyDescent="0.25">
      <c r="A5052" t="s">
        <v>661</v>
      </c>
      <c r="B5052" t="s">
        <v>204</v>
      </c>
      <c r="C5052" s="2">
        <f>HYPERLINK("https://sao.dolgi.msk.ru/account/1404256146/", 1404256146)</f>
        <v>1404256146</v>
      </c>
      <c r="D5052">
        <v>8317.59</v>
      </c>
    </row>
    <row r="5053" spans="1:4" x14ac:dyDescent="0.25">
      <c r="A5053" t="s">
        <v>661</v>
      </c>
      <c r="B5053" t="s">
        <v>205</v>
      </c>
      <c r="C5053" s="2">
        <f>HYPERLINK("https://sao.dolgi.msk.ru/account/1404256509/", 1404256509)</f>
        <v>1404256509</v>
      </c>
      <c r="D5053">
        <v>7857.51</v>
      </c>
    </row>
    <row r="5054" spans="1:4" hidden="1" x14ac:dyDescent="0.25">
      <c r="A5054" t="s">
        <v>661</v>
      </c>
      <c r="B5054" t="s">
        <v>206</v>
      </c>
      <c r="C5054" s="2">
        <f>HYPERLINK("https://sao.dolgi.msk.ru/account/1404256154/", 1404256154)</f>
        <v>1404256154</v>
      </c>
      <c r="D5054">
        <v>-3599</v>
      </c>
    </row>
    <row r="5055" spans="1:4" hidden="1" x14ac:dyDescent="0.25">
      <c r="A5055" t="s">
        <v>661</v>
      </c>
      <c r="B5055" t="s">
        <v>207</v>
      </c>
      <c r="C5055" s="2">
        <f>HYPERLINK("https://sao.dolgi.msk.ru/account/1404256816/", 1404256816)</f>
        <v>1404256816</v>
      </c>
      <c r="D5055">
        <v>-6520.33</v>
      </c>
    </row>
    <row r="5056" spans="1:4" x14ac:dyDescent="0.25">
      <c r="A5056" t="s">
        <v>661</v>
      </c>
      <c r="B5056" t="s">
        <v>208</v>
      </c>
      <c r="C5056" s="2">
        <f>HYPERLINK("https://sao.dolgi.msk.ru/account/1404255135/", 1404255135)</f>
        <v>1404255135</v>
      </c>
      <c r="D5056">
        <v>4175.3599999999997</v>
      </c>
    </row>
    <row r="5057" spans="1:4" hidden="1" x14ac:dyDescent="0.25">
      <c r="A5057" t="s">
        <v>662</v>
      </c>
      <c r="B5057" t="s">
        <v>5</v>
      </c>
      <c r="C5057" s="2">
        <f>HYPERLINK("https://sao.dolgi.msk.ru/account/1404135168/", 1404135168)</f>
        <v>1404135168</v>
      </c>
      <c r="D5057">
        <v>0</v>
      </c>
    </row>
    <row r="5058" spans="1:4" hidden="1" x14ac:dyDescent="0.25">
      <c r="A5058" t="s">
        <v>662</v>
      </c>
      <c r="B5058" t="s">
        <v>5</v>
      </c>
      <c r="C5058" s="2">
        <f>HYPERLINK("https://sao.dolgi.msk.ru/account/1404293836/", 1404293836)</f>
        <v>1404293836</v>
      </c>
      <c r="D5058">
        <v>-2686.39</v>
      </c>
    </row>
    <row r="5059" spans="1:4" hidden="1" x14ac:dyDescent="0.25">
      <c r="A5059" t="s">
        <v>662</v>
      </c>
      <c r="B5059" t="s">
        <v>6</v>
      </c>
      <c r="C5059" s="2">
        <f>HYPERLINK("https://sao.dolgi.msk.ru/account/1404134798/", 1404134798)</f>
        <v>1404134798</v>
      </c>
      <c r="D5059">
        <v>-4966.25</v>
      </c>
    </row>
    <row r="5060" spans="1:4" hidden="1" x14ac:dyDescent="0.25">
      <c r="A5060" t="s">
        <v>662</v>
      </c>
      <c r="B5060" t="s">
        <v>7</v>
      </c>
      <c r="C5060" s="2">
        <f>HYPERLINK("https://sao.dolgi.msk.ru/account/1404134018/", 1404134018)</f>
        <v>1404134018</v>
      </c>
      <c r="D5060">
        <v>-3890.22</v>
      </c>
    </row>
    <row r="5061" spans="1:4" hidden="1" x14ac:dyDescent="0.25">
      <c r="A5061" t="s">
        <v>662</v>
      </c>
      <c r="B5061" t="s">
        <v>8</v>
      </c>
      <c r="C5061" s="2">
        <f>HYPERLINK("https://sao.dolgi.msk.ru/account/1404134405/", 1404134405)</f>
        <v>1404134405</v>
      </c>
      <c r="D5061">
        <v>0</v>
      </c>
    </row>
    <row r="5062" spans="1:4" hidden="1" x14ac:dyDescent="0.25">
      <c r="A5062" t="s">
        <v>662</v>
      </c>
      <c r="B5062" t="s">
        <v>9</v>
      </c>
      <c r="C5062" s="2">
        <f>HYPERLINK("https://sao.dolgi.msk.ru/account/1404134843/", 1404134843)</f>
        <v>1404134843</v>
      </c>
      <c r="D5062">
        <v>-5706.2</v>
      </c>
    </row>
    <row r="5063" spans="1:4" x14ac:dyDescent="0.25">
      <c r="A5063" t="s">
        <v>662</v>
      </c>
      <c r="B5063" t="s">
        <v>10</v>
      </c>
      <c r="C5063" s="2">
        <f>HYPERLINK("https://sao.dolgi.msk.ru/account/1404134042/", 1404134042)</f>
        <v>1404134042</v>
      </c>
      <c r="D5063">
        <v>4875.29</v>
      </c>
    </row>
    <row r="5064" spans="1:4" x14ac:dyDescent="0.25">
      <c r="A5064" t="s">
        <v>662</v>
      </c>
      <c r="B5064" t="s">
        <v>11</v>
      </c>
      <c r="C5064" s="2">
        <f>HYPERLINK("https://sao.dolgi.msk.ru/account/1404134886/", 1404134886)</f>
        <v>1404134886</v>
      </c>
      <c r="D5064">
        <v>176018.27</v>
      </c>
    </row>
    <row r="5065" spans="1:4" x14ac:dyDescent="0.25">
      <c r="A5065" t="s">
        <v>662</v>
      </c>
      <c r="B5065" t="s">
        <v>12</v>
      </c>
      <c r="C5065" s="2">
        <f>HYPERLINK("https://sao.dolgi.msk.ru/account/1404134317/", 1404134317)</f>
        <v>1404134317</v>
      </c>
      <c r="D5065">
        <v>128856.31</v>
      </c>
    </row>
    <row r="5066" spans="1:4" hidden="1" x14ac:dyDescent="0.25">
      <c r="A5066" t="s">
        <v>662</v>
      </c>
      <c r="B5066" t="s">
        <v>13</v>
      </c>
      <c r="C5066" s="2">
        <f>HYPERLINK("https://sao.dolgi.msk.ru/account/1404134333/", 1404134333)</f>
        <v>1404134333</v>
      </c>
      <c r="D5066">
        <v>-129.9</v>
      </c>
    </row>
    <row r="5067" spans="1:4" hidden="1" x14ac:dyDescent="0.25">
      <c r="A5067" t="s">
        <v>662</v>
      </c>
      <c r="B5067" t="s">
        <v>14</v>
      </c>
      <c r="C5067" s="2">
        <f>HYPERLINK("https://sao.dolgi.msk.ru/account/1404133875/", 1404133875)</f>
        <v>1404133875</v>
      </c>
      <c r="D5067">
        <v>-4426.08</v>
      </c>
    </row>
    <row r="5068" spans="1:4" hidden="1" x14ac:dyDescent="0.25">
      <c r="A5068" t="s">
        <v>662</v>
      </c>
      <c r="B5068" t="s">
        <v>15</v>
      </c>
      <c r="C5068" s="2">
        <f>HYPERLINK("https://sao.dolgi.msk.ru/account/1404134536/", 1404134536)</f>
        <v>1404134536</v>
      </c>
      <c r="D5068">
        <v>-3594.85</v>
      </c>
    </row>
    <row r="5069" spans="1:4" hidden="1" x14ac:dyDescent="0.25">
      <c r="A5069" t="s">
        <v>662</v>
      </c>
      <c r="B5069" t="s">
        <v>16</v>
      </c>
      <c r="C5069" s="2">
        <f>HYPERLINK("https://sao.dolgi.msk.ru/account/1404133912/", 1404133912)</f>
        <v>1404133912</v>
      </c>
      <c r="D5069">
        <v>0</v>
      </c>
    </row>
    <row r="5070" spans="1:4" x14ac:dyDescent="0.25">
      <c r="A5070" t="s">
        <v>662</v>
      </c>
      <c r="B5070" t="s">
        <v>17</v>
      </c>
      <c r="C5070" s="2">
        <f>HYPERLINK("https://sao.dolgi.msk.ru/account/1404134739/", 1404134739)</f>
        <v>1404134739</v>
      </c>
      <c r="D5070">
        <v>5238.78</v>
      </c>
    </row>
    <row r="5071" spans="1:4" x14ac:dyDescent="0.25">
      <c r="A5071" t="s">
        <v>662</v>
      </c>
      <c r="B5071" t="s">
        <v>18</v>
      </c>
      <c r="C5071" s="2">
        <f>HYPERLINK("https://sao.dolgi.msk.ru/account/1404135248/", 1404135248)</f>
        <v>1404135248</v>
      </c>
      <c r="D5071">
        <v>374.03</v>
      </c>
    </row>
    <row r="5072" spans="1:4" hidden="1" x14ac:dyDescent="0.25">
      <c r="A5072" t="s">
        <v>662</v>
      </c>
      <c r="B5072" t="s">
        <v>19</v>
      </c>
      <c r="C5072" s="2">
        <f>HYPERLINK("https://sao.dolgi.msk.ru/account/1404134181/", 1404134181)</f>
        <v>1404134181</v>
      </c>
      <c r="D5072">
        <v>0</v>
      </c>
    </row>
    <row r="5073" spans="1:4" hidden="1" x14ac:dyDescent="0.25">
      <c r="A5073" t="s">
        <v>662</v>
      </c>
      <c r="B5073" t="s">
        <v>20</v>
      </c>
      <c r="C5073" s="2">
        <f>HYPERLINK("https://sao.dolgi.msk.ru/account/1404133971/", 1404133971)</f>
        <v>1404133971</v>
      </c>
      <c r="D5073">
        <v>-8205.2999999999993</v>
      </c>
    </row>
    <row r="5074" spans="1:4" hidden="1" x14ac:dyDescent="0.25">
      <c r="A5074" t="s">
        <v>662</v>
      </c>
      <c r="B5074" t="s">
        <v>21</v>
      </c>
      <c r="C5074" s="2">
        <f>HYPERLINK("https://sao.dolgi.msk.ru/account/1404134763/", 1404134763)</f>
        <v>1404134763</v>
      </c>
      <c r="D5074">
        <v>-9810.32</v>
      </c>
    </row>
    <row r="5075" spans="1:4" hidden="1" x14ac:dyDescent="0.25">
      <c r="A5075" t="s">
        <v>662</v>
      </c>
      <c r="B5075" t="s">
        <v>22</v>
      </c>
      <c r="C5075" s="2">
        <f>HYPERLINK("https://sao.dolgi.msk.ru/account/1404134771/", 1404134771)</f>
        <v>1404134771</v>
      </c>
      <c r="D5075">
        <v>-3677.01</v>
      </c>
    </row>
    <row r="5076" spans="1:4" hidden="1" x14ac:dyDescent="0.25">
      <c r="A5076" t="s">
        <v>662</v>
      </c>
      <c r="B5076" t="s">
        <v>23</v>
      </c>
      <c r="C5076" s="2">
        <f>HYPERLINK("https://sao.dolgi.msk.ru/account/1404134579/", 1404134579)</f>
        <v>1404134579</v>
      </c>
      <c r="D5076">
        <v>-4794.72</v>
      </c>
    </row>
    <row r="5077" spans="1:4" hidden="1" x14ac:dyDescent="0.25">
      <c r="A5077" t="s">
        <v>662</v>
      </c>
      <c r="B5077" t="s">
        <v>24</v>
      </c>
      <c r="C5077" s="2">
        <f>HYPERLINK("https://sao.dolgi.msk.ru/account/1404135256/", 1404135256)</f>
        <v>1404135256</v>
      </c>
      <c r="D5077">
        <v>-1576.13</v>
      </c>
    </row>
    <row r="5078" spans="1:4" hidden="1" x14ac:dyDescent="0.25">
      <c r="A5078" t="s">
        <v>662</v>
      </c>
      <c r="B5078" t="s">
        <v>25</v>
      </c>
      <c r="C5078" s="2">
        <f>HYPERLINK("https://sao.dolgi.msk.ru/account/1404134704/", 1404134704)</f>
        <v>1404134704</v>
      </c>
      <c r="D5078">
        <v>0</v>
      </c>
    </row>
    <row r="5079" spans="1:4" hidden="1" x14ac:dyDescent="0.25">
      <c r="A5079" t="s">
        <v>662</v>
      </c>
      <c r="B5079" t="s">
        <v>25</v>
      </c>
      <c r="C5079" s="2">
        <f>HYPERLINK("https://sao.dolgi.msk.ru/account/1404134819/", 1404134819)</f>
        <v>1404134819</v>
      </c>
      <c r="D5079">
        <v>0</v>
      </c>
    </row>
    <row r="5080" spans="1:4" hidden="1" x14ac:dyDescent="0.25">
      <c r="A5080" t="s">
        <v>662</v>
      </c>
      <c r="B5080" t="s">
        <v>26</v>
      </c>
      <c r="C5080" s="2">
        <f>HYPERLINK("https://sao.dolgi.msk.ru/account/1404134587/", 1404134587)</f>
        <v>1404134587</v>
      </c>
      <c r="D5080">
        <v>-3955.88</v>
      </c>
    </row>
    <row r="5081" spans="1:4" hidden="1" x14ac:dyDescent="0.25">
      <c r="A5081" t="s">
        <v>662</v>
      </c>
      <c r="B5081" t="s">
        <v>27</v>
      </c>
      <c r="C5081" s="2">
        <f>HYPERLINK("https://sao.dolgi.msk.ru/account/1404135061/", 1404135061)</f>
        <v>1404135061</v>
      </c>
      <c r="D5081">
        <v>-4411.37</v>
      </c>
    </row>
    <row r="5082" spans="1:4" hidden="1" x14ac:dyDescent="0.25">
      <c r="A5082" t="s">
        <v>662</v>
      </c>
      <c r="B5082" t="s">
        <v>28</v>
      </c>
      <c r="C5082" s="2">
        <f>HYPERLINK("https://sao.dolgi.msk.ru/account/1404135264/", 1404135264)</f>
        <v>1404135264</v>
      </c>
      <c r="D5082">
        <v>0</v>
      </c>
    </row>
    <row r="5083" spans="1:4" hidden="1" x14ac:dyDescent="0.25">
      <c r="A5083" t="s">
        <v>662</v>
      </c>
      <c r="B5083" t="s">
        <v>29</v>
      </c>
      <c r="C5083" s="2">
        <f>HYPERLINK("https://sao.dolgi.msk.ru/account/1404135432/", 1404135432)</f>
        <v>1404135432</v>
      </c>
      <c r="D5083">
        <v>-8051.93</v>
      </c>
    </row>
    <row r="5084" spans="1:4" hidden="1" x14ac:dyDescent="0.25">
      <c r="A5084" t="s">
        <v>662</v>
      </c>
      <c r="B5084" t="s">
        <v>30</v>
      </c>
      <c r="C5084" s="2">
        <f>HYPERLINK("https://sao.dolgi.msk.ru/account/1404133998/", 1404133998)</f>
        <v>1404133998</v>
      </c>
      <c r="D5084">
        <v>0</v>
      </c>
    </row>
    <row r="5085" spans="1:4" hidden="1" x14ac:dyDescent="0.25">
      <c r="A5085" t="s">
        <v>662</v>
      </c>
      <c r="B5085" t="s">
        <v>31</v>
      </c>
      <c r="C5085" s="2">
        <f>HYPERLINK("https://sao.dolgi.msk.ru/account/1404135272/", 1404135272)</f>
        <v>1404135272</v>
      </c>
      <c r="D5085">
        <v>-5090.16</v>
      </c>
    </row>
    <row r="5086" spans="1:4" hidden="1" x14ac:dyDescent="0.25">
      <c r="A5086" t="s">
        <v>662</v>
      </c>
      <c r="B5086" t="s">
        <v>32</v>
      </c>
      <c r="C5086" s="2">
        <f>HYPERLINK("https://sao.dolgi.msk.ru/account/1404134827/", 1404134827)</f>
        <v>1404134827</v>
      </c>
      <c r="D5086">
        <v>-7047.5</v>
      </c>
    </row>
    <row r="5087" spans="1:4" hidden="1" x14ac:dyDescent="0.25">
      <c r="A5087" t="s">
        <v>662</v>
      </c>
      <c r="B5087" t="s">
        <v>33</v>
      </c>
      <c r="C5087" s="2">
        <f>HYPERLINK("https://sao.dolgi.msk.ru/account/1404135459/", 1404135459)</f>
        <v>1404135459</v>
      </c>
      <c r="D5087">
        <v>-8047.83</v>
      </c>
    </row>
    <row r="5088" spans="1:4" hidden="1" x14ac:dyDescent="0.25">
      <c r="A5088" t="s">
        <v>662</v>
      </c>
      <c r="B5088" t="s">
        <v>34</v>
      </c>
      <c r="C5088" s="2">
        <f>HYPERLINK("https://sao.dolgi.msk.ru/account/1404135467/", 1404135467)</f>
        <v>1404135467</v>
      </c>
      <c r="D5088">
        <v>0</v>
      </c>
    </row>
    <row r="5089" spans="1:4" hidden="1" x14ac:dyDescent="0.25">
      <c r="A5089" t="s">
        <v>662</v>
      </c>
      <c r="B5089" t="s">
        <v>35</v>
      </c>
      <c r="C5089" s="2">
        <f>HYPERLINK("https://sao.dolgi.msk.ru/account/1404135088/", 1404135088)</f>
        <v>1404135088</v>
      </c>
      <c r="D5089">
        <v>-3110.93</v>
      </c>
    </row>
    <row r="5090" spans="1:4" hidden="1" x14ac:dyDescent="0.25">
      <c r="A5090" t="s">
        <v>662</v>
      </c>
      <c r="B5090" t="s">
        <v>36</v>
      </c>
      <c r="C5090" s="2">
        <f>HYPERLINK("https://sao.dolgi.msk.ru/account/1404135299/", 1404135299)</f>
        <v>1404135299</v>
      </c>
      <c r="D5090">
        <v>-4934.1099999999997</v>
      </c>
    </row>
    <row r="5091" spans="1:4" hidden="1" x14ac:dyDescent="0.25">
      <c r="A5091" t="s">
        <v>662</v>
      </c>
      <c r="B5091" t="s">
        <v>37</v>
      </c>
      <c r="C5091" s="2">
        <f>HYPERLINK("https://sao.dolgi.msk.ru/account/1404134835/", 1404134835)</f>
        <v>1404134835</v>
      </c>
      <c r="D5091">
        <v>-16785.12</v>
      </c>
    </row>
    <row r="5092" spans="1:4" hidden="1" x14ac:dyDescent="0.25">
      <c r="A5092" t="s">
        <v>662</v>
      </c>
      <c r="B5092" t="s">
        <v>38</v>
      </c>
      <c r="C5092" s="2">
        <f>HYPERLINK("https://sao.dolgi.msk.ru/account/1404134384/", 1404134384)</f>
        <v>1404134384</v>
      </c>
      <c r="D5092">
        <v>-8339.48</v>
      </c>
    </row>
    <row r="5093" spans="1:4" hidden="1" x14ac:dyDescent="0.25">
      <c r="A5093" t="s">
        <v>662</v>
      </c>
      <c r="B5093" t="s">
        <v>39</v>
      </c>
      <c r="C5093" s="2">
        <f>HYPERLINK("https://sao.dolgi.msk.ru/account/1404134595/", 1404134595)</f>
        <v>1404134595</v>
      </c>
      <c r="D5093">
        <v>-3476.74</v>
      </c>
    </row>
    <row r="5094" spans="1:4" hidden="1" x14ac:dyDescent="0.25">
      <c r="A5094" t="s">
        <v>662</v>
      </c>
      <c r="B5094" t="s">
        <v>40</v>
      </c>
      <c r="C5094" s="2">
        <f>HYPERLINK("https://sao.dolgi.msk.ru/account/1404134392/", 1404134392)</f>
        <v>1404134392</v>
      </c>
      <c r="D5094">
        <v>-7339.05</v>
      </c>
    </row>
    <row r="5095" spans="1:4" hidden="1" x14ac:dyDescent="0.25">
      <c r="A5095" t="s">
        <v>662</v>
      </c>
      <c r="B5095" t="s">
        <v>41</v>
      </c>
      <c r="C5095" s="2">
        <f>HYPERLINK("https://sao.dolgi.msk.ru/account/1404135475/", 1404135475)</f>
        <v>1404135475</v>
      </c>
      <c r="D5095">
        <v>0</v>
      </c>
    </row>
    <row r="5096" spans="1:4" hidden="1" x14ac:dyDescent="0.25">
      <c r="A5096" t="s">
        <v>662</v>
      </c>
      <c r="B5096" t="s">
        <v>42</v>
      </c>
      <c r="C5096" s="2">
        <f>HYPERLINK("https://sao.dolgi.msk.ru/account/1404135096/", 1404135096)</f>
        <v>1404135096</v>
      </c>
      <c r="D5096">
        <v>-8019.69</v>
      </c>
    </row>
    <row r="5097" spans="1:4" hidden="1" x14ac:dyDescent="0.25">
      <c r="A5097" t="s">
        <v>662</v>
      </c>
      <c r="B5097" t="s">
        <v>43</v>
      </c>
      <c r="C5097" s="2">
        <f>HYPERLINK("https://sao.dolgi.msk.ru/account/1404135301/", 1404135301)</f>
        <v>1404135301</v>
      </c>
      <c r="D5097">
        <v>0</v>
      </c>
    </row>
    <row r="5098" spans="1:4" x14ac:dyDescent="0.25">
      <c r="A5098" t="s">
        <v>662</v>
      </c>
      <c r="B5098" t="s">
        <v>44</v>
      </c>
      <c r="C5098" s="2">
        <f>HYPERLINK("https://sao.dolgi.msk.ru/account/1404134608/", 1404134608)</f>
        <v>1404134608</v>
      </c>
      <c r="D5098">
        <v>7344.26</v>
      </c>
    </row>
    <row r="5099" spans="1:4" x14ac:dyDescent="0.25">
      <c r="A5099" t="s">
        <v>662</v>
      </c>
      <c r="B5099" t="s">
        <v>45</v>
      </c>
      <c r="C5099" s="2">
        <f>HYPERLINK("https://sao.dolgi.msk.ru/account/1404134026/", 1404134026)</f>
        <v>1404134026</v>
      </c>
      <c r="D5099">
        <v>7067.14</v>
      </c>
    </row>
    <row r="5100" spans="1:4" hidden="1" x14ac:dyDescent="0.25">
      <c r="A5100" t="s">
        <v>662</v>
      </c>
      <c r="B5100" t="s">
        <v>46</v>
      </c>
      <c r="C5100" s="2">
        <f>HYPERLINK("https://sao.dolgi.msk.ru/account/1404135109/", 1404135109)</f>
        <v>1404135109</v>
      </c>
      <c r="D5100">
        <v>-6233.59</v>
      </c>
    </row>
    <row r="5101" spans="1:4" hidden="1" x14ac:dyDescent="0.25">
      <c r="A5101" t="s">
        <v>662</v>
      </c>
      <c r="B5101" t="s">
        <v>47</v>
      </c>
      <c r="C5101" s="2">
        <f>HYPERLINK("https://sao.dolgi.msk.ru/account/1404134034/", 1404134034)</f>
        <v>1404134034</v>
      </c>
      <c r="D5101">
        <v>-4670.42</v>
      </c>
    </row>
    <row r="5102" spans="1:4" hidden="1" x14ac:dyDescent="0.25">
      <c r="A5102" t="s">
        <v>662</v>
      </c>
      <c r="B5102" t="s">
        <v>48</v>
      </c>
      <c r="C5102" s="2">
        <f>HYPERLINK("https://sao.dolgi.msk.ru/account/1404134202/", 1404134202)</f>
        <v>1404134202</v>
      </c>
      <c r="D5102">
        <v>-6040.68</v>
      </c>
    </row>
    <row r="5103" spans="1:4" hidden="1" x14ac:dyDescent="0.25">
      <c r="A5103" t="s">
        <v>662</v>
      </c>
      <c r="B5103" t="s">
        <v>49</v>
      </c>
      <c r="C5103" s="2">
        <f>HYPERLINK("https://sao.dolgi.msk.ru/account/1404134149/", 1404134149)</f>
        <v>1404134149</v>
      </c>
      <c r="D5103">
        <v>0</v>
      </c>
    </row>
    <row r="5104" spans="1:4" hidden="1" x14ac:dyDescent="0.25">
      <c r="A5104" t="s">
        <v>662</v>
      </c>
      <c r="B5104" t="s">
        <v>50</v>
      </c>
      <c r="C5104" s="2">
        <f>HYPERLINK("https://sao.dolgi.msk.ru/account/1404135328/", 1404135328)</f>
        <v>1404135328</v>
      </c>
      <c r="D5104">
        <v>0</v>
      </c>
    </row>
    <row r="5105" spans="1:4" hidden="1" x14ac:dyDescent="0.25">
      <c r="A5105" t="s">
        <v>662</v>
      </c>
      <c r="B5105" t="s">
        <v>51</v>
      </c>
      <c r="C5105" s="2">
        <f>HYPERLINK("https://sao.dolgi.msk.ru/account/1404135483/", 1404135483)</f>
        <v>1404135483</v>
      </c>
      <c r="D5105">
        <v>-4578.63</v>
      </c>
    </row>
    <row r="5106" spans="1:4" hidden="1" x14ac:dyDescent="0.25">
      <c r="A5106" t="s">
        <v>662</v>
      </c>
      <c r="B5106" t="s">
        <v>52</v>
      </c>
      <c r="C5106" s="2">
        <f>HYPERLINK("https://sao.dolgi.msk.ru/account/1404134229/", 1404134229)</f>
        <v>1404134229</v>
      </c>
      <c r="D5106">
        <v>-7284.98</v>
      </c>
    </row>
    <row r="5107" spans="1:4" hidden="1" x14ac:dyDescent="0.25">
      <c r="A5107" t="s">
        <v>662</v>
      </c>
      <c r="B5107" t="s">
        <v>53</v>
      </c>
      <c r="C5107" s="2">
        <f>HYPERLINK("https://sao.dolgi.msk.ru/account/1404134616/", 1404134616)</f>
        <v>1404134616</v>
      </c>
      <c r="D5107">
        <v>-7019.77</v>
      </c>
    </row>
    <row r="5108" spans="1:4" hidden="1" x14ac:dyDescent="0.25">
      <c r="A5108" t="s">
        <v>662</v>
      </c>
      <c r="B5108" t="s">
        <v>54</v>
      </c>
      <c r="C5108" s="2">
        <f>HYPERLINK("https://sao.dolgi.msk.ru/account/1404134237/", 1404134237)</f>
        <v>1404134237</v>
      </c>
      <c r="D5108">
        <v>-6647.2</v>
      </c>
    </row>
    <row r="5109" spans="1:4" hidden="1" x14ac:dyDescent="0.25">
      <c r="A5109" t="s">
        <v>662</v>
      </c>
      <c r="B5109" t="s">
        <v>55</v>
      </c>
      <c r="C5109" s="2">
        <f>HYPERLINK("https://sao.dolgi.msk.ru/account/1404135117/", 1404135117)</f>
        <v>1404135117</v>
      </c>
      <c r="D5109">
        <v>-2772.53</v>
      </c>
    </row>
    <row r="5110" spans="1:4" hidden="1" x14ac:dyDescent="0.25">
      <c r="A5110" t="s">
        <v>662</v>
      </c>
      <c r="B5110" t="s">
        <v>56</v>
      </c>
      <c r="C5110" s="2">
        <f>HYPERLINK("https://sao.dolgi.msk.ru/account/1404134245/", 1404134245)</f>
        <v>1404134245</v>
      </c>
      <c r="D5110">
        <v>-8265.23</v>
      </c>
    </row>
    <row r="5111" spans="1:4" hidden="1" x14ac:dyDescent="0.25">
      <c r="A5111" t="s">
        <v>662</v>
      </c>
      <c r="B5111" t="s">
        <v>57</v>
      </c>
      <c r="C5111" s="2">
        <f>HYPERLINK("https://sao.dolgi.msk.ru/account/1404134253/", 1404134253)</f>
        <v>1404134253</v>
      </c>
      <c r="D5111">
        <v>-9181.7199999999993</v>
      </c>
    </row>
    <row r="5112" spans="1:4" hidden="1" x14ac:dyDescent="0.25">
      <c r="A5112" t="s">
        <v>662</v>
      </c>
      <c r="B5112" t="s">
        <v>58</v>
      </c>
      <c r="C5112" s="2">
        <f>HYPERLINK("https://sao.dolgi.msk.ru/account/1404134261/", 1404134261)</f>
        <v>1404134261</v>
      </c>
      <c r="D5112">
        <v>-3089.12</v>
      </c>
    </row>
    <row r="5113" spans="1:4" hidden="1" x14ac:dyDescent="0.25">
      <c r="A5113" t="s">
        <v>662</v>
      </c>
      <c r="B5113" t="s">
        <v>59</v>
      </c>
      <c r="C5113" s="2">
        <f>HYPERLINK("https://sao.dolgi.msk.ru/account/1404134288/", 1404134288)</f>
        <v>1404134288</v>
      </c>
      <c r="D5113">
        <v>0</v>
      </c>
    </row>
    <row r="5114" spans="1:4" hidden="1" x14ac:dyDescent="0.25">
      <c r="A5114" t="s">
        <v>662</v>
      </c>
      <c r="B5114" t="s">
        <v>60</v>
      </c>
      <c r="C5114" s="2">
        <f>HYPERLINK("https://sao.dolgi.msk.ru/account/1404134413/", 1404134413)</f>
        <v>1404134413</v>
      </c>
      <c r="D5114">
        <v>0</v>
      </c>
    </row>
    <row r="5115" spans="1:4" hidden="1" x14ac:dyDescent="0.25">
      <c r="A5115" t="s">
        <v>662</v>
      </c>
      <c r="B5115" t="s">
        <v>61</v>
      </c>
      <c r="C5115" s="2">
        <f>HYPERLINK("https://sao.dolgi.msk.ru/account/1404134624/", 1404134624)</f>
        <v>1404134624</v>
      </c>
      <c r="D5115">
        <v>-7057.14</v>
      </c>
    </row>
    <row r="5116" spans="1:4" hidden="1" x14ac:dyDescent="0.25">
      <c r="A5116" t="s">
        <v>662</v>
      </c>
      <c r="B5116" t="s">
        <v>62</v>
      </c>
      <c r="C5116" s="2">
        <f>HYPERLINK("https://sao.dolgi.msk.ru/account/1404134851/", 1404134851)</f>
        <v>1404134851</v>
      </c>
      <c r="D5116">
        <v>-6916.64</v>
      </c>
    </row>
    <row r="5117" spans="1:4" hidden="1" x14ac:dyDescent="0.25">
      <c r="A5117" t="s">
        <v>662</v>
      </c>
      <c r="B5117" t="s">
        <v>63</v>
      </c>
      <c r="C5117" s="2">
        <f>HYPERLINK("https://sao.dolgi.msk.ru/account/1404135491/", 1404135491)</f>
        <v>1404135491</v>
      </c>
      <c r="D5117">
        <v>-1784.31</v>
      </c>
    </row>
    <row r="5118" spans="1:4" hidden="1" x14ac:dyDescent="0.25">
      <c r="A5118" t="s">
        <v>662</v>
      </c>
      <c r="B5118" t="s">
        <v>64</v>
      </c>
      <c r="C5118" s="2">
        <f>HYPERLINK("https://sao.dolgi.msk.ru/account/1404134632/", 1404134632)</f>
        <v>1404134632</v>
      </c>
      <c r="D5118">
        <v>-8148.71</v>
      </c>
    </row>
    <row r="5119" spans="1:4" hidden="1" x14ac:dyDescent="0.25">
      <c r="A5119" t="s">
        <v>662</v>
      </c>
      <c r="B5119" t="s">
        <v>65</v>
      </c>
      <c r="C5119" s="2">
        <f>HYPERLINK("https://sao.dolgi.msk.ru/account/1404134472/", 1404134472)</f>
        <v>1404134472</v>
      </c>
      <c r="D5119">
        <v>0</v>
      </c>
    </row>
    <row r="5120" spans="1:4" hidden="1" x14ac:dyDescent="0.25">
      <c r="A5120" t="s">
        <v>662</v>
      </c>
      <c r="B5120" t="s">
        <v>65</v>
      </c>
      <c r="C5120" s="2">
        <f>HYPERLINK("https://sao.dolgi.msk.ru/account/1404135336/", 1404135336)</f>
        <v>1404135336</v>
      </c>
      <c r="D5120">
        <v>0</v>
      </c>
    </row>
    <row r="5121" spans="1:4" hidden="1" x14ac:dyDescent="0.25">
      <c r="A5121" t="s">
        <v>662</v>
      </c>
      <c r="B5121" t="s">
        <v>66</v>
      </c>
      <c r="C5121" s="2">
        <f>HYPERLINK("https://sao.dolgi.msk.ru/account/1404134421/", 1404134421)</f>
        <v>1404134421</v>
      </c>
      <c r="D5121">
        <v>0</v>
      </c>
    </row>
    <row r="5122" spans="1:4" hidden="1" x14ac:dyDescent="0.25">
      <c r="A5122" t="s">
        <v>662</v>
      </c>
      <c r="B5122" t="s">
        <v>67</v>
      </c>
      <c r="C5122" s="2">
        <f>HYPERLINK("https://sao.dolgi.msk.ru/account/1404135344/", 1404135344)</f>
        <v>1404135344</v>
      </c>
      <c r="D5122">
        <v>-5106.0200000000004</v>
      </c>
    </row>
    <row r="5123" spans="1:4" hidden="1" x14ac:dyDescent="0.25">
      <c r="A5123" t="s">
        <v>662</v>
      </c>
      <c r="B5123" t="s">
        <v>68</v>
      </c>
      <c r="C5123" s="2">
        <f>HYPERLINK("https://sao.dolgi.msk.ru/account/1404134659/", 1404134659)</f>
        <v>1404134659</v>
      </c>
      <c r="D5123">
        <v>-5984.45</v>
      </c>
    </row>
    <row r="5124" spans="1:4" hidden="1" x14ac:dyDescent="0.25">
      <c r="A5124" t="s">
        <v>662</v>
      </c>
      <c r="B5124" t="s">
        <v>69</v>
      </c>
      <c r="C5124" s="2">
        <f>HYPERLINK("https://sao.dolgi.msk.ru/account/1404134878/", 1404134878)</f>
        <v>1404134878</v>
      </c>
      <c r="D5124">
        <v>-2638.85</v>
      </c>
    </row>
    <row r="5125" spans="1:4" x14ac:dyDescent="0.25">
      <c r="A5125" t="s">
        <v>662</v>
      </c>
      <c r="B5125" t="s">
        <v>70</v>
      </c>
      <c r="C5125" s="2">
        <f>HYPERLINK("https://sao.dolgi.msk.ru/account/1404135125/", 1404135125)</f>
        <v>1404135125</v>
      </c>
      <c r="D5125">
        <v>6258.09</v>
      </c>
    </row>
    <row r="5126" spans="1:4" hidden="1" x14ac:dyDescent="0.25">
      <c r="A5126" t="s">
        <v>662</v>
      </c>
      <c r="B5126" t="s">
        <v>71</v>
      </c>
      <c r="C5126" s="2">
        <f>HYPERLINK("https://sao.dolgi.msk.ru/account/1404134296/", 1404134296)</f>
        <v>1404134296</v>
      </c>
      <c r="D5126">
        <v>-3946.44</v>
      </c>
    </row>
    <row r="5127" spans="1:4" x14ac:dyDescent="0.25">
      <c r="A5127" t="s">
        <v>662</v>
      </c>
      <c r="B5127" t="s">
        <v>72</v>
      </c>
      <c r="C5127" s="2">
        <f>HYPERLINK("https://sao.dolgi.msk.ru/account/1404134667/", 1404134667)</f>
        <v>1404134667</v>
      </c>
      <c r="D5127">
        <v>171223.64</v>
      </c>
    </row>
    <row r="5128" spans="1:4" hidden="1" x14ac:dyDescent="0.25">
      <c r="A5128" t="s">
        <v>662</v>
      </c>
      <c r="B5128" t="s">
        <v>73</v>
      </c>
      <c r="C5128" s="2">
        <f>HYPERLINK("https://sao.dolgi.msk.ru/account/1404134069/", 1404134069)</f>
        <v>1404134069</v>
      </c>
      <c r="D5128">
        <v>-9262.89</v>
      </c>
    </row>
    <row r="5129" spans="1:4" hidden="1" x14ac:dyDescent="0.25">
      <c r="A5129" t="s">
        <v>662</v>
      </c>
      <c r="B5129" t="s">
        <v>74</v>
      </c>
      <c r="C5129" s="2">
        <f>HYPERLINK("https://sao.dolgi.msk.ru/account/1404135352/", 1404135352)</f>
        <v>1404135352</v>
      </c>
      <c r="D5129">
        <v>0</v>
      </c>
    </row>
    <row r="5130" spans="1:4" hidden="1" x14ac:dyDescent="0.25">
      <c r="A5130" t="s">
        <v>662</v>
      </c>
      <c r="B5130" t="s">
        <v>76</v>
      </c>
      <c r="C5130" s="2">
        <f>HYPERLINK("https://sao.dolgi.msk.ru/account/1404134309/", 1404134309)</f>
        <v>1404134309</v>
      </c>
      <c r="D5130">
        <v>-3169.44</v>
      </c>
    </row>
    <row r="5131" spans="1:4" hidden="1" x14ac:dyDescent="0.25">
      <c r="A5131" t="s">
        <v>662</v>
      </c>
      <c r="B5131" t="s">
        <v>77</v>
      </c>
      <c r="C5131" s="2">
        <f>HYPERLINK("https://sao.dolgi.msk.ru/account/1404134077/", 1404134077)</f>
        <v>1404134077</v>
      </c>
      <c r="D5131">
        <v>0</v>
      </c>
    </row>
    <row r="5132" spans="1:4" x14ac:dyDescent="0.25">
      <c r="A5132" t="s">
        <v>662</v>
      </c>
      <c r="B5132" t="s">
        <v>78</v>
      </c>
      <c r="C5132" s="2">
        <f>HYPERLINK("https://sao.dolgi.msk.ru/account/1404134085/", 1404134085)</f>
        <v>1404134085</v>
      </c>
      <c r="D5132">
        <v>16370.58</v>
      </c>
    </row>
    <row r="5133" spans="1:4" hidden="1" x14ac:dyDescent="0.25">
      <c r="A5133" t="s">
        <v>662</v>
      </c>
      <c r="B5133" t="s">
        <v>79</v>
      </c>
      <c r="C5133" s="2">
        <f>HYPERLINK("https://sao.dolgi.msk.ru/account/1404135379/", 1404135379)</f>
        <v>1404135379</v>
      </c>
      <c r="D5133">
        <v>0</v>
      </c>
    </row>
    <row r="5134" spans="1:4" hidden="1" x14ac:dyDescent="0.25">
      <c r="A5134" t="s">
        <v>662</v>
      </c>
      <c r="B5134" t="s">
        <v>80</v>
      </c>
      <c r="C5134" s="2">
        <f>HYPERLINK("https://sao.dolgi.msk.ru/account/1404134675/", 1404134675)</f>
        <v>1404134675</v>
      </c>
      <c r="D5134">
        <v>-5261.35</v>
      </c>
    </row>
    <row r="5135" spans="1:4" x14ac:dyDescent="0.25">
      <c r="A5135" t="s">
        <v>662</v>
      </c>
      <c r="B5135" t="s">
        <v>81</v>
      </c>
      <c r="C5135" s="2">
        <f>HYPERLINK("https://sao.dolgi.msk.ru/account/1404134894/", 1404134894)</f>
        <v>1404134894</v>
      </c>
      <c r="D5135">
        <v>8020.77</v>
      </c>
    </row>
    <row r="5136" spans="1:4" x14ac:dyDescent="0.25">
      <c r="A5136" t="s">
        <v>662</v>
      </c>
      <c r="B5136" t="s">
        <v>82</v>
      </c>
      <c r="C5136" s="2">
        <f>HYPERLINK("https://sao.dolgi.msk.ru/account/1404135133/", 1404135133)</f>
        <v>1404135133</v>
      </c>
      <c r="D5136">
        <v>6891.2</v>
      </c>
    </row>
    <row r="5137" spans="1:4" hidden="1" x14ac:dyDescent="0.25">
      <c r="A5137" t="s">
        <v>662</v>
      </c>
      <c r="B5137" t="s">
        <v>83</v>
      </c>
      <c r="C5137" s="2">
        <f>HYPERLINK("https://sao.dolgi.msk.ru/account/1404134448/", 1404134448)</f>
        <v>1404134448</v>
      </c>
      <c r="D5137">
        <v>-6167.45</v>
      </c>
    </row>
    <row r="5138" spans="1:4" x14ac:dyDescent="0.25">
      <c r="A5138" t="s">
        <v>662</v>
      </c>
      <c r="B5138" t="s">
        <v>84</v>
      </c>
      <c r="C5138" s="2">
        <f>HYPERLINK("https://sao.dolgi.msk.ru/account/1404135504/", 1404135504)</f>
        <v>1404135504</v>
      </c>
      <c r="D5138">
        <v>12871.25</v>
      </c>
    </row>
    <row r="5139" spans="1:4" hidden="1" x14ac:dyDescent="0.25">
      <c r="A5139" t="s">
        <v>662</v>
      </c>
      <c r="B5139" t="s">
        <v>85</v>
      </c>
      <c r="C5139" s="2">
        <f>HYPERLINK("https://sao.dolgi.msk.ru/account/1404134325/", 1404134325)</f>
        <v>1404134325</v>
      </c>
      <c r="D5139">
        <v>-11349.64</v>
      </c>
    </row>
    <row r="5140" spans="1:4" hidden="1" x14ac:dyDescent="0.25">
      <c r="A5140" t="s">
        <v>662</v>
      </c>
      <c r="B5140" t="s">
        <v>86</v>
      </c>
      <c r="C5140" s="2">
        <f>HYPERLINK("https://sao.dolgi.msk.ru/account/1404134907/", 1404134907)</f>
        <v>1404134907</v>
      </c>
      <c r="D5140">
        <v>0</v>
      </c>
    </row>
    <row r="5141" spans="1:4" hidden="1" x14ac:dyDescent="0.25">
      <c r="A5141" t="s">
        <v>662</v>
      </c>
      <c r="B5141" t="s">
        <v>87</v>
      </c>
      <c r="C5141" s="2">
        <f>HYPERLINK("https://sao.dolgi.msk.ru/account/1404134915/", 1404134915)</f>
        <v>1404134915</v>
      </c>
      <c r="D5141">
        <v>0</v>
      </c>
    </row>
    <row r="5142" spans="1:4" hidden="1" x14ac:dyDescent="0.25">
      <c r="A5142" t="s">
        <v>662</v>
      </c>
      <c r="B5142" t="s">
        <v>88</v>
      </c>
      <c r="C5142" s="2">
        <f>HYPERLINK("https://sao.dolgi.msk.ru/account/1404135387/", 1404135387)</f>
        <v>1404135387</v>
      </c>
      <c r="D5142">
        <v>-5747.66</v>
      </c>
    </row>
    <row r="5143" spans="1:4" hidden="1" x14ac:dyDescent="0.25">
      <c r="A5143" t="s">
        <v>662</v>
      </c>
      <c r="B5143" t="s">
        <v>89</v>
      </c>
      <c r="C5143" s="2">
        <f>HYPERLINK("https://sao.dolgi.msk.ru/account/1404135395/", 1404135395)</f>
        <v>1404135395</v>
      </c>
      <c r="D5143">
        <v>0</v>
      </c>
    </row>
    <row r="5144" spans="1:4" hidden="1" x14ac:dyDescent="0.25">
      <c r="A5144" t="s">
        <v>662</v>
      </c>
      <c r="B5144" t="s">
        <v>90</v>
      </c>
      <c r="C5144" s="2">
        <f>HYPERLINK("https://sao.dolgi.msk.ru/account/1404134923/", 1404134923)</f>
        <v>1404134923</v>
      </c>
      <c r="D5144">
        <v>0</v>
      </c>
    </row>
    <row r="5145" spans="1:4" hidden="1" x14ac:dyDescent="0.25">
      <c r="A5145" t="s">
        <v>662</v>
      </c>
      <c r="B5145" t="s">
        <v>91</v>
      </c>
      <c r="C5145" s="2">
        <f>HYPERLINK("https://sao.dolgi.msk.ru/account/1404134456/", 1404134456)</f>
        <v>1404134456</v>
      </c>
      <c r="D5145">
        <v>-6859.56</v>
      </c>
    </row>
    <row r="5146" spans="1:4" x14ac:dyDescent="0.25">
      <c r="A5146" t="s">
        <v>662</v>
      </c>
      <c r="B5146" t="s">
        <v>92</v>
      </c>
      <c r="C5146" s="2">
        <f>HYPERLINK("https://sao.dolgi.msk.ru/account/1404134931/", 1404134931)</f>
        <v>1404134931</v>
      </c>
      <c r="D5146">
        <v>451607.23</v>
      </c>
    </row>
    <row r="5147" spans="1:4" hidden="1" x14ac:dyDescent="0.25">
      <c r="A5147" t="s">
        <v>662</v>
      </c>
      <c r="B5147" t="s">
        <v>93</v>
      </c>
      <c r="C5147" s="2">
        <f>HYPERLINK("https://sao.dolgi.msk.ru/account/1404134093/", 1404134093)</f>
        <v>1404134093</v>
      </c>
      <c r="D5147">
        <v>-5427.65</v>
      </c>
    </row>
    <row r="5148" spans="1:4" hidden="1" x14ac:dyDescent="0.25">
      <c r="A5148" t="s">
        <v>662</v>
      </c>
      <c r="B5148" t="s">
        <v>94</v>
      </c>
      <c r="C5148" s="2">
        <f>HYPERLINK("https://sao.dolgi.msk.ru/account/1404135408/", 1404135408)</f>
        <v>1404135408</v>
      </c>
      <c r="D5148">
        <v>0</v>
      </c>
    </row>
    <row r="5149" spans="1:4" x14ac:dyDescent="0.25">
      <c r="A5149" t="s">
        <v>662</v>
      </c>
      <c r="B5149" t="s">
        <v>95</v>
      </c>
      <c r="C5149" s="2">
        <f>HYPERLINK("https://sao.dolgi.msk.ru/account/1404135141/", 1404135141)</f>
        <v>1404135141</v>
      </c>
      <c r="D5149">
        <v>6463.17</v>
      </c>
    </row>
    <row r="5150" spans="1:4" hidden="1" x14ac:dyDescent="0.25">
      <c r="A5150" t="s">
        <v>662</v>
      </c>
      <c r="B5150" t="s">
        <v>96</v>
      </c>
      <c r="C5150" s="2">
        <f>HYPERLINK("https://sao.dolgi.msk.ru/account/1404134683/", 1404134683)</f>
        <v>1404134683</v>
      </c>
      <c r="D5150">
        <v>0</v>
      </c>
    </row>
    <row r="5151" spans="1:4" x14ac:dyDescent="0.25">
      <c r="A5151" t="s">
        <v>662</v>
      </c>
      <c r="B5151" t="s">
        <v>97</v>
      </c>
      <c r="C5151" s="2">
        <f>HYPERLINK("https://sao.dolgi.msk.ru/account/1404134691/", 1404134691)</f>
        <v>1404134691</v>
      </c>
      <c r="D5151">
        <v>16273.34</v>
      </c>
    </row>
    <row r="5152" spans="1:4" hidden="1" x14ac:dyDescent="0.25">
      <c r="A5152" t="s">
        <v>662</v>
      </c>
      <c r="B5152" t="s">
        <v>98</v>
      </c>
      <c r="C5152" s="2">
        <f>HYPERLINK("https://sao.dolgi.msk.ru/account/1404134106/", 1404134106)</f>
        <v>1404134106</v>
      </c>
      <c r="D5152">
        <v>0</v>
      </c>
    </row>
    <row r="5153" spans="1:4" hidden="1" x14ac:dyDescent="0.25">
      <c r="A5153" t="s">
        <v>662</v>
      </c>
      <c r="B5153" t="s">
        <v>99</v>
      </c>
      <c r="C5153" s="2">
        <f>HYPERLINK("https://sao.dolgi.msk.ru/account/1404135512/", 1404135512)</f>
        <v>1404135512</v>
      </c>
      <c r="D5153">
        <v>0</v>
      </c>
    </row>
    <row r="5154" spans="1:4" hidden="1" x14ac:dyDescent="0.25">
      <c r="A5154" t="s">
        <v>662</v>
      </c>
      <c r="B5154" t="s">
        <v>100</v>
      </c>
      <c r="C5154" s="2">
        <f>HYPERLINK("https://sao.dolgi.msk.ru/account/1404134958/", 1404134958)</f>
        <v>1404134958</v>
      </c>
      <c r="D5154">
        <v>-5461.31</v>
      </c>
    </row>
    <row r="5155" spans="1:4" hidden="1" x14ac:dyDescent="0.25">
      <c r="A5155" t="s">
        <v>662</v>
      </c>
      <c r="B5155" t="s">
        <v>101</v>
      </c>
      <c r="C5155" s="2">
        <f>HYPERLINK("https://sao.dolgi.msk.ru/account/1404134464/", 1404134464)</f>
        <v>1404134464</v>
      </c>
      <c r="D5155">
        <v>-7612.22</v>
      </c>
    </row>
    <row r="5156" spans="1:4" hidden="1" x14ac:dyDescent="0.25">
      <c r="A5156" t="s">
        <v>662</v>
      </c>
      <c r="B5156" t="s">
        <v>102</v>
      </c>
      <c r="C5156" s="2">
        <f>HYPERLINK("https://sao.dolgi.msk.ru/account/1404134114/", 1404134114)</f>
        <v>1404134114</v>
      </c>
      <c r="D5156">
        <v>0</v>
      </c>
    </row>
    <row r="5157" spans="1:4" hidden="1" x14ac:dyDescent="0.25">
      <c r="A5157" t="s">
        <v>662</v>
      </c>
      <c r="B5157" t="s">
        <v>103</v>
      </c>
      <c r="C5157" s="2">
        <f>HYPERLINK("https://sao.dolgi.msk.ru/account/1404134122/", 1404134122)</f>
        <v>1404134122</v>
      </c>
      <c r="D5157">
        <v>0</v>
      </c>
    </row>
    <row r="5158" spans="1:4" hidden="1" x14ac:dyDescent="0.25">
      <c r="A5158" t="s">
        <v>662</v>
      </c>
      <c r="B5158" t="s">
        <v>104</v>
      </c>
      <c r="C5158" s="2">
        <f>HYPERLINK("https://sao.dolgi.msk.ru/account/1404134341/", 1404134341)</f>
        <v>1404134341</v>
      </c>
      <c r="D5158">
        <v>-5660.32</v>
      </c>
    </row>
    <row r="5159" spans="1:4" hidden="1" x14ac:dyDescent="0.25">
      <c r="A5159" t="s">
        <v>662</v>
      </c>
      <c r="B5159" t="s">
        <v>105</v>
      </c>
      <c r="C5159" s="2">
        <f>HYPERLINK("https://sao.dolgi.msk.ru/account/1404134499/", 1404134499)</f>
        <v>1404134499</v>
      </c>
      <c r="D5159">
        <v>-7876.31</v>
      </c>
    </row>
    <row r="5160" spans="1:4" hidden="1" x14ac:dyDescent="0.25">
      <c r="A5160" t="s">
        <v>662</v>
      </c>
      <c r="B5160" t="s">
        <v>106</v>
      </c>
      <c r="C5160" s="2">
        <f>HYPERLINK("https://sao.dolgi.msk.ru/account/1404134501/", 1404134501)</f>
        <v>1404134501</v>
      </c>
      <c r="D5160">
        <v>-4419.25</v>
      </c>
    </row>
    <row r="5161" spans="1:4" hidden="1" x14ac:dyDescent="0.25">
      <c r="A5161" t="s">
        <v>662</v>
      </c>
      <c r="B5161" t="s">
        <v>107</v>
      </c>
      <c r="C5161" s="2">
        <f>HYPERLINK("https://sao.dolgi.msk.ru/account/1404133883/", 1404133883)</f>
        <v>1404133883</v>
      </c>
      <c r="D5161">
        <v>-6115.94</v>
      </c>
    </row>
    <row r="5162" spans="1:4" x14ac:dyDescent="0.25">
      <c r="A5162" t="s">
        <v>662</v>
      </c>
      <c r="B5162" t="s">
        <v>108</v>
      </c>
      <c r="C5162" s="2">
        <f>HYPERLINK("https://sao.dolgi.msk.ru/account/1404133891/", 1404133891)</f>
        <v>1404133891</v>
      </c>
      <c r="D5162">
        <v>15614.58</v>
      </c>
    </row>
    <row r="5163" spans="1:4" hidden="1" x14ac:dyDescent="0.25">
      <c r="A5163" t="s">
        <v>662</v>
      </c>
      <c r="B5163" t="s">
        <v>109</v>
      </c>
      <c r="C5163" s="2">
        <f>HYPERLINK("https://sao.dolgi.msk.ru/account/1404134966/", 1404134966)</f>
        <v>1404134966</v>
      </c>
      <c r="D5163">
        <v>-5536.72</v>
      </c>
    </row>
    <row r="5164" spans="1:4" hidden="1" x14ac:dyDescent="0.25">
      <c r="A5164" t="s">
        <v>662</v>
      </c>
      <c r="B5164" t="s">
        <v>110</v>
      </c>
      <c r="C5164" s="2">
        <f>HYPERLINK("https://sao.dolgi.msk.ru/account/1404134974/", 1404134974)</f>
        <v>1404134974</v>
      </c>
      <c r="D5164">
        <v>-4404.8100000000004</v>
      </c>
    </row>
    <row r="5165" spans="1:4" hidden="1" x14ac:dyDescent="0.25">
      <c r="A5165" t="s">
        <v>662</v>
      </c>
      <c r="B5165" t="s">
        <v>111</v>
      </c>
      <c r="C5165" s="2">
        <f>HYPERLINK("https://sao.dolgi.msk.ru/account/1404134528/", 1404134528)</f>
        <v>1404134528</v>
      </c>
      <c r="D5165">
        <v>0</v>
      </c>
    </row>
    <row r="5166" spans="1:4" hidden="1" x14ac:dyDescent="0.25">
      <c r="A5166" t="s">
        <v>662</v>
      </c>
      <c r="B5166" t="s">
        <v>112</v>
      </c>
      <c r="C5166" s="2">
        <f>HYPERLINK("https://sao.dolgi.msk.ru/account/1404135176/", 1404135176)</f>
        <v>1404135176</v>
      </c>
      <c r="D5166">
        <v>-6653.54</v>
      </c>
    </row>
    <row r="5167" spans="1:4" hidden="1" x14ac:dyDescent="0.25">
      <c r="A5167" t="s">
        <v>662</v>
      </c>
      <c r="B5167" t="s">
        <v>113</v>
      </c>
      <c r="C5167" s="2">
        <f>HYPERLINK("https://sao.dolgi.msk.ru/account/1404135184/", 1404135184)</f>
        <v>1404135184</v>
      </c>
      <c r="D5167">
        <v>0</v>
      </c>
    </row>
    <row r="5168" spans="1:4" hidden="1" x14ac:dyDescent="0.25">
      <c r="A5168" t="s">
        <v>662</v>
      </c>
      <c r="B5168" t="s">
        <v>114</v>
      </c>
      <c r="C5168" s="2">
        <f>HYPERLINK("https://sao.dolgi.msk.ru/account/1404133904/", 1404133904)</f>
        <v>1404133904</v>
      </c>
      <c r="D5168">
        <v>-4725.57</v>
      </c>
    </row>
    <row r="5169" spans="1:4" hidden="1" x14ac:dyDescent="0.25">
      <c r="A5169" t="s">
        <v>662</v>
      </c>
      <c r="B5169" t="s">
        <v>115</v>
      </c>
      <c r="C5169" s="2">
        <f>HYPERLINK("https://sao.dolgi.msk.ru/account/1404134368/", 1404134368)</f>
        <v>1404134368</v>
      </c>
      <c r="D5169">
        <v>0</v>
      </c>
    </row>
    <row r="5170" spans="1:4" hidden="1" x14ac:dyDescent="0.25">
      <c r="A5170" t="s">
        <v>662</v>
      </c>
      <c r="B5170" t="s">
        <v>116</v>
      </c>
      <c r="C5170" s="2">
        <f>HYPERLINK("https://sao.dolgi.msk.ru/account/1404135416/", 1404135416)</f>
        <v>1404135416</v>
      </c>
      <c r="D5170">
        <v>-117.96</v>
      </c>
    </row>
    <row r="5171" spans="1:4" hidden="1" x14ac:dyDescent="0.25">
      <c r="A5171" t="s">
        <v>662</v>
      </c>
      <c r="B5171" t="s">
        <v>117</v>
      </c>
      <c r="C5171" s="2">
        <f>HYPERLINK("https://sao.dolgi.msk.ru/account/1404135424/", 1404135424)</f>
        <v>1404135424</v>
      </c>
      <c r="D5171">
        <v>-6104.46</v>
      </c>
    </row>
    <row r="5172" spans="1:4" hidden="1" x14ac:dyDescent="0.25">
      <c r="A5172" t="s">
        <v>662</v>
      </c>
      <c r="B5172" t="s">
        <v>118</v>
      </c>
      <c r="C5172" s="2">
        <f>HYPERLINK("https://sao.dolgi.msk.ru/account/1404134982/", 1404134982)</f>
        <v>1404134982</v>
      </c>
      <c r="D5172">
        <v>0</v>
      </c>
    </row>
    <row r="5173" spans="1:4" hidden="1" x14ac:dyDescent="0.25">
      <c r="A5173" t="s">
        <v>662</v>
      </c>
      <c r="B5173" t="s">
        <v>119</v>
      </c>
      <c r="C5173" s="2">
        <f>HYPERLINK("https://sao.dolgi.msk.ru/account/1404135002/", 1404135002)</f>
        <v>1404135002</v>
      </c>
      <c r="D5173">
        <v>-6417.09</v>
      </c>
    </row>
    <row r="5174" spans="1:4" hidden="1" x14ac:dyDescent="0.25">
      <c r="A5174" t="s">
        <v>662</v>
      </c>
      <c r="B5174" t="s">
        <v>120</v>
      </c>
      <c r="C5174" s="2">
        <f>HYPERLINK("https://sao.dolgi.msk.ru/account/1404134157/", 1404134157)</f>
        <v>1404134157</v>
      </c>
      <c r="D5174">
        <v>0</v>
      </c>
    </row>
    <row r="5175" spans="1:4" x14ac:dyDescent="0.25">
      <c r="A5175" t="s">
        <v>662</v>
      </c>
      <c r="B5175" t="s">
        <v>121</v>
      </c>
      <c r="C5175" s="2">
        <f>HYPERLINK("https://sao.dolgi.msk.ru/account/1404135192/", 1404135192)</f>
        <v>1404135192</v>
      </c>
      <c r="D5175">
        <v>273275.46000000002</v>
      </c>
    </row>
    <row r="5176" spans="1:4" hidden="1" x14ac:dyDescent="0.25">
      <c r="A5176" t="s">
        <v>662</v>
      </c>
      <c r="B5176" t="s">
        <v>122</v>
      </c>
      <c r="C5176" s="2">
        <f>HYPERLINK("https://sao.dolgi.msk.ru/account/1404135029/", 1404135029)</f>
        <v>1404135029</v>
      </c>
      <c r="D5176">
        <v>0</v>
      </c>
    </row>
    <row r="5177" spans="1:4" hidden="1" x14ac:dyDescent="0.25">
      <c r="A5177" t="s">
        <v>662</v>
      </c>
      <c r="B5177" t="s">
        <v>123</v>
      </c>
      <c r="C5177" s="2">
        <f>HYPERLINK("https://sao.dolgi.msk.ru/account/1404134712/", 1404134712)</f>
        <v>1404134712</v>
      </c>
      <c r="D5177">
        <v>-7298.65</v>
      </c>
    </row>
    <row r="5178" spans="1:4" hidden="1" x14ac:dyDescent="0.25">
      <c r="A5178" t="s">
        <v>662</v>
      </c>
      <c r="B5178" t="s">
        <v>124</v>
      </c>
      <c r="C5178" s="2">
        <f>HYPERLINK("https://sao.dolgi.msk.ru/account/1404133939/", 1404133939)</f>
        <v>1404133939</v>
      </c>
      <c r="D5178">
        <v>-8803.65</v>
      </c>
    </row>
    <row r="5179" spans="1:4" hidden="1" x14ac:dyDescent="0.25">
      <c r="A5179" t="s">
        <v>662</v>
      </c>
      <c r="B5179" t="s">
        <v>125</v>
      </c>
      <c r="C5179" s="2">
        <f>HYPERLINK("https://sao.dolgi.msk.ru/account/1404133947/", 1404133947)</f>
        <v>1404133947</v>
      </c>
      <c r="D5179">
        <v>0</v>
      </c>
    </row>
    <row r="5180" spans="1:4" hidden="1" x14ac:dyDescent="0.25">
      <c r="A5180" t="s">
        <v>662</v>
      </c>
      <c r="B5180" t="s">
        <v>126</v>
      </c>
      <c r="C5180" s="2">
        <f>HYPERLINK("https://sao.dolgi.msk.ru/account/1404134165/", 1404134165)</f>
        <v>1404134165</v>
      </c>
      <c r="D5180">
        <v>0</v>
      </c>
    </row>
    <row r="5181" spans="1:4" hidden="1" x14ac:dyDescent="0.25">
      <c r="A5181" t="s">
        <v>662</v>
      </c>
      <c r="B5181" t="s">
        <v>127</v>
      </c>
      <c r="C5181" s="2">
        <f>HYPERLINK("https://sao.dolgi.msk.ru/account/1404135037/", 1404135037)</f>
        <v>1404135037</v>
      </c>
      <c r="D5181">
        <v>-3703.7</v>
      </c>
    </row>
    <row r="5182" spans="1:4" hidden="1" x14ac:dyDescent="0.25">
      <c r="A5182" t="s">
        <v>662</v>
      </c>
      <c r="B5182" t="s">
        <v>128</v>
      </c>
      <c r="C5182" s="2">
        <f>HYPERLINK("https://sao.dolgi.msk.ru/account/1404134544/", 1404134544)</f>
        <v>1404134544</v>
      </c>
      <c r="D5182">
        <v>-6288.94</v>
      </c>
    </row>
    <row r="5183" spans="1:4" hidden="1" x14ac:dyDescent="0.25">
      <c r="A5183" t="s">
        <v>662</v>
      </c>
      <c r="B5183" t="s">
        <v>129</v>
      </c>
      <c r="C5183" s="2">
        <f>HYPERLINK("https://sao.dolgi.msk.ru/account/1404135045/", 1404135045)</f>
        <v>1404135045</v>
      </c>
      <c r="D5183">
        <v>-6928.46</v>
      </c>
    </row>
    <row r="5184" spans="1:4" hidden="1" x14ac:dyDescent="0.25">
      <c r="A5184" t="s">
        <v>662</v>
      </c>
      <c r="B5184" t="s">
        <v>130</v>
      </c>
      <c r="C5184" s="2">
        <f>HYPERLINK("https://sao.dolgi.msk.ru/account/1404135205/", 1404135205)</f>
        <v>1404135205</v>
      </c>
      <c r="D5184">
        <v>-4541.63</v>
      </c>
    </row>
    <row r="5185" spans="1:4" hidden="1" x14ac:dyDescent="0.25">
      <c r="A5185" t="s">
        <v>662</v>
      </c>
      <c r="B5185" t="s">
        <v>131</v>
      </c>
      <c r="C5185" s="2">
        <f>HYPERLINK("https://sao.dolgi.msk.ru/account/1404133955/", 1404133955)</f>
        <v>1404133955</v>
      </c>
      <c r="D5185">
        <v>-21356.81</v>
      </c>
    </row>
    <row r="5186" spans="1:4" hidden="1" x14ac:dyDescent="0.25">
      <c r="A5186" t="s">
        <v>662</v>
      </c>
      <c r="B5186" t="s">
        <v>132</v>
      </c>
      <c r="C5186" s="2">
        <f>HYPERLINK("https://sao.dolgi.msk.ru/account/1404133963/", 1404133963)</f>
        <v>1404133963</v>
      </c>
      <c r="D5186">
        <v>0</v>
      </c>
    </row>
    <row r="5187" spans="1:4" hidden="1" x14ac:dyDescent="0.25">
      <c r="A5187" t="s">
        <v>662</v>
      </c>
      <c r="B5187" t="s">
        <v>133</v>
      </c>
      <c r="C5187" s="2">
        <f>HYPERLINK("https://sao.dolgi.msk.ru/account/1404134173/", 1404134173)</f>
        <v>1404134173</v>
      </c>
      <c r="D5187">
        <v>-7639.35</v>
      </c>
    </row>
    <row r="5188" spans="1:4" hidden="1" x14ac:dyDescent="0.25">
      <c r="A5188" t="s">
        <v>662</v>
      </c>
      <c r="B5188" t="s">
        <v>134</v>
      </c>
      <c r="C5188" s="2">
        <f>HYPERLINK("https://sao.dolgi.msk.ru/account/1404134747/", 1404134747)</f>
        <v>1404134747</v>
      </c>
      <c r="D5188">
        <v>-3353.01</v>
      </c>
    </row>
    <row r="5189" spans="1:4" hidden="1" x14ac:dyDescent="0.25">
      <c r="A5189" t="s">
        <v>662</v>
      </c>
      <c r="B5189" t="s">
        <v>135</v>
      </c>
      <c r="C5189" s="2">
        <f>HYPERLINK("https://sao.dolgi.msk.ru/account/1404135213/", 1404135213)</f>
        <v>1404135213</v>
      </c>
      <c r="D5189">
        <v>-3758.47</v>
      </c>
    </row>
    <row r="5190" spans="1:4" hidden="1" x14ac:dyDescent="0.25">
      <c r="A5190" t="s">
        <v>662</v>
      </c>
      <c r="B5190" t="s">
        <v>136</v>
      </c>
      <c r="C5190" s="2">
        <f>HYPERLINK("https://sao.dolgi.msk.ru/account/1404134755/", 1404134755)</f>
        <v>1404134755</v>
      </c>
      <c r="D5190">
        <v>-890.78</v>
      </c>
    </row>
    <row r="5191" spans="1:4" x14ac:dyDescent="0.25">
      <c r="A5191" t="s">
        <v>662</v>
      </c>
      <c r="B5191" t="s">
        <v>137</v>
      </c>
      <c r="C5191" s="2">
        <f>HYPERLINK("https://sao.dolgi.msk.ru/account/1404135053/", 1404135053)</f>
        <v>1404135053</v>
      </c>
      <c r="D5191">
        <v>8132.19</v>
      </c>
    </row>
    <row r="5192" spans="1:4" hidden="1" x14ac:dyDescent="0.25">
      <c r="A5192" t="s">
        <v>662</v>
      </c>
      <c r="B5192" t="s">
        <v>138</v>
      </c>
      <c r="C5192" s="2">
        <f>HYPERLINK("https://sao.dolgi.msk.ru/account/1404134552/", 1404134552)</f>
        <v>1404134552</v>
      </c>
      <c r="D5192">
        <v>-4360.8100000000004</v>
      </c>
    </row>
    <row r="5193" spans="1:4" hidden="1" x14ac:dyDescent="0.25">
      <c r="A5193" t="s">
        <v>662</v>
      </c>
      <c r="B5193" t="s">
        <v>139</v>
      </c>
      <c r="C5193" s="2">
        <f>HYPERLINK("https://sao.dolgi.msk.ru/account/1404135221/", 1404135221)</f>
        <v>1404135221</v>
      </c>
      <c r="D5193">
        <v>-4435.83</v>
      </c>
    </row>
    <row r="5194" spans="1:4" hidden="1" x14ac:dyDescent="0.25">
      <c r="A5194" t="s">
        <v>662</v>
      </c>
      <c r="B5194" t="s">
        <v>140</v>
      </c>
      <c r="C5194" s="2">
        <f>HYPERLINK("https://sao.dolgi.msk.ru/account/1404134376/", 1404134376)</f>
        <v>1404134376</v>
      </c>
      <c r="D5194">
        <v>-577.29</v>
      </c>
    </row>
    <row r="5195" spans="1:4" hidden="1" x14ac:dyDescent="0.25">
      <c r="A5195" t="s">
        <v>663</v>
      </c>
      <c r="B5195" t="s">
        <v>5</v>
      </c>
      <c r="C5195" s="2">
        <f>HYPERLINK("https://sao.dolgi.msk.ru/account/1404257763/", 1404257763)</f>
        <v>1404257763</v>
      </c>
      <c r="D5195">
        <v>-4616.72</v>
      </c>
    </row>
    <row r="5196" spans="1:4" hidden="1" x14ac:dyDescent="0.25">
      <c r="A5196" t="s">
        <v>663</v>
      </c>
      <c r="B5196" t="s">
        <v>6</v>
      </c>
      <c r="C5196" s="2">
        <f>HYPERLINK("https://sao.dolgi.msk.ru/account/1404257034/", 1404257034)</f>
        <v>1404257034</v>
      </c>
      <c r="D5196">
        <v>0</v>
      </c>
    </row>
    <row r="5197" spans="1:4" hidden="1" x14ac:dyDescent="0.25">
      <c r="A5197" t="s">
        <v>663</v>
      </c>
      <c r="B5197" t="s">
        <v>7</v>
      </c>
      <c r="C5197" s="2">
        <f>HYPERLINK("https://sao.dolgi.msk.ru/account/1404257667/", 1404257667)</f>
        <v>1404257667</v>
      </c>
      <c r="D5197">
        <v>-6103.24</v>
      </c>
    </row>
    <row r="5198" spans="1:4" hidden="1" x14ac:dyDescent="0.25">
      <c r="A5198" t="s">
        <v>663</v>
      </c>
      <c r="B5198" t="s">
        <v>8</v>
      </c>
      <c r="C5198" s="2">
        <f>HYPERLINK("https://sao.dolgi.msk.ru/account/1404257325/", 1404257325)</f>
        <v>1404257325</v>
      </c>
      <c r="D5198">
        <v>-4342.79</v>
      </c>
    </row>
    <row r="5199" spans="1:4" hidden="1" x14ac:dyDescent="0.25">
      <c r="A5199" t="s">
        <v>663</v>
      </c>
      <c r="B5199" t="s">
        <v>9</v>
      </c>
      <c r="C5199" s="2">
        <f>HYPERLINK("https://sao.dolgi.msk.ru/account/1404257405/", 1404257405)</f>
        <v>1404257405</v>
      </c>
      <c r="D5199">
        <v>0</v>
      </c>
    </row>
    <row r="5200" spans="1:4" hidden="1" x14ac:dyDescent="0.25">
      <c r="A5200" t="s">
        <v>663</v>
      </c>
      <c r="B5200" t="s">
        <v>10</v>
      </c>
      <c r="C5200" s="2">
        <f>HYPERLINK("https://sao.dolgi.msk.ru/account/1404257229/", 1404257229)</f>
        <v>1404257229</v>
      </c>
      <c r="D5200">
        <v>0</v>
      </c>
    </row>
    <row r="5201" spans="1:4" hidden="1" x14ac:dyDescent="0.25">
      <c r="A5201" t="s">
        <v>663</v>
      </c>
      <c r="B5201" t="s">
        <v>11</v>
      </c>
      <c r="C5201" s="2">
        <f>HYPERLINK("https://sao.dolgi.msk.ru/account/1404257616/", 1404257616)</f>
        <v>1404257616</v>
      </c>
      <c r="D5201">
        <v>-3142.5</v>
      </c>
    </row>
    <row r="5202" spans="1:4" hidden="1" x14ac:dyDescent="0.25">
      <c r="A5202" t="s">
        <v>663</v>
      </c>
      <c r="B5202" t="s">
        <v>12</v>
      </c>
      <c r="C5202" s="2">
        <f>HYPERLINK("https://sao.dolgi.msk.ru/account/1404256939/", 1404256939)</f>
        <v>1404256939</v>
      </c>
      <c r="D5202">
        <v>0</v>
      </c>
    </row>
    <row r="5203" spans="1:4" hidden="1" x14ac:dyDescent="0.25">
      <c r="A5203" t="s">
        <v>663</v>
      </c>
      <c r="B5203" t="s">
        <v>13</v>
      </c>
      <c r="C5203" s="2">
        <f>HYPERLINK("https://sao.dolgi.msk.ru/account/1404257691/", 1404257691)</f>
        <v>1404257691</v>
      </c>
      <c r="D5203">
        <v>-4797.82</v>
      </c>
    </row>
    <row r="5204" spans="1:4" hidden="1" x14ac:dyDescent="0.25">
      <c r="A5204" t="s">
        <v>663</v>
      </c>
      <c r="B5204" t="s">
        <v>14</v>
      </c>
      <c r="C5204" s="2">
        <f>HYPERLINK("https://sao.dolgi.msk.ru/account/1404257261/", 1404257261)</f>
        <v>1404257261</v>
      </c>
      <c r="D5204">
        <v>-2768.5</v>
      </c>
    </row>
    <row r="5205" spans="1:4" hidden="1" x14ac:dyDescent="0.25">
      <c r="A5205" t="s">
        <v>663</v>
      </c>
      <c r="B5205" t="s">
        <v>15</v>
      </c>
      <c r="C5205" s="2">
        <f>HYPERLINK("https://sao.dolgi.msk.ru/account/1404257181/", 1404257181)</f>
        <v>1404257181</v>
      </c>
      <c r="D5205">
        <v>-494.04</v>
      </c>
    </row>
    <row r="5206" spans="1:4" hidden="1" x14ac:dyDescent="0.25">
      <c r="A5206" t="s">
        <v>663</v>
      </c>
      <c r="B5206" t="s">
        <v>16</v>
      </c>
      <c r="C5206" s="2">
        <f>HYPERLINK("https://sao.dolgi.msk.ru/account/1404257771/", 1404257771)</f>
        <v>1404257771</v>
      </c>
      <c r="D5206">
        <v>-5870.01</v>
      </c>
    </row>
    <row r="5207" spans="1:4" hidden="1" x14ac:dyDescent="0.25">
      <c r="A5207" t="s">
        <v>663</v>
      </c>
      <c r="B5207" t="s">
        <v>17</v>
      </c>
      <c r="C5207" s="2">
        <f>HYPERLINK("https://sao.dolgi.msk.ru/account/1404257085/", 1404257085)</f>
        <v>1404257085</v>
      </c>
      <c r="D5207">
        <v>0</v>
      </c>
    </row>
    <row r="5208" spans="1:4" hidden="1" x14ac:dyDescent="0.25">
      <c r="A5208" t="s">
        <v>663</v>
      </c>
      <c r="B5208" t="s">
        <v>17</v>
      </c>
      <c r="C5208" s="2">
        <f>HYPERLINK("https://sao.dolgi.msk.ru/account/1404257798/", 1404257798)</f>
        <v>1404257798</v>
      </c>
      <c r="D5208">
        <v>0</v>
      </c>
    </row>
    <row r="5209" spans="1:4" hidden="1" x14ac:dyDescent="0.25">
      <c r="A5209" t="s">
        <v>663</v>
      </c>
      <c r="B5209" t="s">
        <v>18</v>
      </c>
      <c r="C5209" s="2">
        <f>HYPERLINK("https://sao.dolgi.msk.ru/account/1404256955/", 1404256955)</f>
        <v>1404256955</v>
      </c>
      <c r="D5209">
        <v>-3695.48</v>
      </c>
    </row>
    <row r="5210" spans="1:4" hidden="1" x14ac:dyDescent="0.25">
      <c r="A5210" t="s">
        <v>663</v>
      </c>
      <c r="B5210" t="s">
        <v>19</v>
      </c>
      <c r="C5210" s="2">
        <f>HYPERLINK("https://sao.dolgi.msk.ru/account/1404257819/", 1404257819)</f>
        <v>1404257819</v>
      </c>
      <c r="D5210">
        <v>-3199.56</v>
      </c>
    </row>
    <row r="5211" spans="1:4" x14ac:dyDescent="0.25">
      <c r="A5211" t="s">
        <v>663</v>
      </c>
      <c r="B5211" t="s">
        <v>20</v>
      </c>
      <c r="C5211" s="2">
        <f>HYPERLINK("https://sao.dolgi.msk.ru/account/1404256963/", 1404256963)</f>
        <v>1404256963</v>
      </c>
      <c r="D5211">
        <v>15145.39</v>
      </c>
    </row>
    <row r="5212" spans="1:4" hidden="1" x14ac:dyDescent="0.25">
      <c r="A5212" t="s">
        <v>663</v>
      </c>
      <c r="B5212" t="s">
        <v>21</v>
      </c>
      <c r="C5212" s="2">
        <f>HYPERLINK("https://sao.dolgi.msk.ru/account/1404256971/", 1404256971)</f>
        <v>1404256971</v>
      </c>
      <c r="D5212">
        <v>-4692.09</v>
      </c>
    </row>
    <row r="5213" spans="1:4" x14ac:dyDescent="0.25">
      <c r="A5213" t="s">
        <v>663</v>
      </c>
      <c r="B5213" t="s">
        <v>22</v>
      </c>
      <c r="C5213" s="2">
        <f>HYPERLINK("https://sao.dolgi.msk.ru/account/1404257675/", 1404257675)</f>
        <v>1404257675</v>
      </c>
      <c r="D5213">
        <v>113201.1</v>
      </c>
    </row>
    <row r="5214" spans="1:4" hidden="1" x14ac:dyDescent="0.25">
      <c r="A5214" t="s">
        <v>663</v>
      </c>
      <c r="B5214" t="s">
        <v>23</v>
      </c>
      <c r="C5214" s="2">
        <f>HYPERLINK("https://sao.dolgi.msk.ru/account/1404257659/", 1404257659)</f>
        <v>1404257659</v>
      </c>
      <c r="D5214">
        <v>0</v>
      </c>
    </row>
    <row r="5215" spans="1:4" hidden="1" x14ac:dyDescent="0.25">
      <c r="A5215" t="s">
        <v>663</v>
      </c>
      <c r="B5215" t="s">
        <v>24</v>
      </c>
      <c r="C5215" s="2">
        <f>HYPERLINK("https://sao.dolgi.msk.ru/account/1404257341/", 1404257341)</f>
        <v>1404257341</v>
      </c>
      <c r="D5215">
        <v>-9890.43</v>
      </c>
    </row>
    <row r="5216" spans="1:4" hidden="1" x14ac:dyDescent="0.25">
      <c r="A5216" t="s">
        <v>663</v>
      </c>
      <c r="B5216" t="s">
        <v>25</v>
      </c>
      <c r="C5216" s="2">
        <f>HYPERLINK("https://sao.dolgi.msk.ru/account/1404258061/", 1404258061)</f>
        <v>1404258061</v>
      </c>
      <c r="D5216">
        <v>-5844.26</v>
      </c>
    </row>
    <row r="5217" spans="1:4" x14ac:dyDescent="0.25">
      <c r="A5217" t="s">
        <v>663</v>
      </c>
      <c r="B5217" t="s">
        <v>26</v>
      </c>
      <c r="C5217" s="2">
        <f>HYPERLINK("https://sao.dolgi.msk.ru/account/1404257042/", 1404257042)</f>
        <v>1404257042</v>
      </c>
      <c r="D5217">
        <v>1822.22</v>
      </c>
    </row>
    <row r="5218" spans="1:4" hidden="1" x14ac:dyDescent="0.25">
      <c r="A5218" t="s">
        <v>663</v>
      </c>
      <c r="B5218" t="s">
        <v>27</v>
      </c>
      <c r="C5218" s="2">
        <f>HYPERLINK("https://sao.dolgi.msk.ru/account/1404257368/", 1404257368)</f>
        <v>1404257368</v>
      </c>
      <c r="D5218">
        <v>-4963.5600000000004</v>
      </c>
    </row>
    <row r="5219" spans="1:4" hidden="1" x14ac:dyDescent="0.25">
      <c r="A5219" t="s">
        <v>663</v>
      </c>
      <c r="B5219" t="s">
        <v>28</v>
      </c>
      <c r="C5219" s="2">
        <f>HYPERLINK("https://sao.dolgi.msk.ru/account/1404257069/", 1404257069)</f>
        <v>1404257069</v>
      </c>
      <c r="D5219">
        <v>-4247.41</v>
      </c>
    </row>
    <row r="5220" spans="1:4" hidden="1" x14ac:dyDescent="0.25">
      <c r="A5220" t="s">
        <v>663</v>
      </c>
      <c r="B5220" t="s">
        <v>29</v>
      </c>
      <c r="C5220" s="2">
        <f>HYPERLINK("https://sao.dolgi.msk.ru/account/1404258088/", 1404258088)</f>
        <v>1404258088</v>
      </c>
      <c r="D5220">
        <v>0</v>
      </c>
    </row>
    <row r="5221" spans="1:4" hidden="1" x14ac:dyDescent="0.25">
      <c r="A5221" t="s">
        <v>663</v>
      </c>
      <c r="B5221" t="s">
        <v>30</v>
      </c>
      <c r="C5221" s="2">
        <f>HYPERLINK("https://sao.dolgi.msk.ru/account/1404257827/", 1404257827)</f>
        <v>1404257827</v>
      </c>
      <c r="D5221">
        <v>-5281.72</v>
      </c>
    </row>
    <row r="5222" spans="1:4" hidden="1" x14ac:dyDescent="0.25">
      <c r="A5222" t="s">
        <v>663</v>
      </c>
      <c r="B5222" t="s">
        <v>31</v>
      </c>
      <c r="C5222" s="2">
        <f>HYPERLINK("https://sao.dolgi.msk.ru/account/1404257835/", 1404257835)</f>
        <v>1404257835</v>
      </c>
      <c r="D5222">
        <v>-5095.3</v>
      </c>
    </row>
    <row r="5223" spans="1:4" hidden="1" x14ac:dyDescent="0.25">
      <c r="A5223" t="s">
        <v>663</v>
      </c>
      <c r="B5223" t="s">
        <v>32</v>
      </c>
      <c r="C5223" s="2">
        <f>HYPERLINK("https://sao.dolgi.msk.ru/account/1404257077/", 1404257077)</f>
        <v>1404257077</v>
      </c>
      <c r="D5223">
        <v>0</v>
      </c>
    </row>
    <row r="5224" spans="1:4" hidden="1" x14ac:dyDescent="0.25">
      <c r="A5224" t="s">
        <v>663</v>
      </c>
      <c r="B5224" t="s">
        <v>33</v>
      </c>
      <c r="C5224" s="2">
        <f>HYPERLINK("https://sao.dolgi.msk.ru/account/1404257966/", 1404257966)</f>
        <v>1404257966</v>
      </c>
      <c r="D5224">
        <v>0</v>
      </c>
    </row>
    <row r="5225" spans="1:4" hidden="1" x14ac:dyDescent="0.25">
      <c r="A5225" t="s">
        <v>663</v>
      </c>
      <c r="B5225" t="s">
        <v>34</v>
      </c>
      <c r="C5225" s="2">
        <f>HYPERLINK("https://sao.dolgi.msk.ru/account/1404257843/", 1404257843)</f>
        <v>1404257843</v>
      </c>
      <c r="D5225">
        <v>0</v>
      </c>
    </row>
    <row r="5226" spans="1:4" x14ac:dyDescent="0.25">
      <c r="A5226" t="s">
        <v>663</v>
      </c>
      <c r="B5226" t="s">
        <v>35</v>
      </c>
      <c r="C5226" s="2">
        <f>HYPERLINK("https://sao.dolgi.msk.ru/account/1404257464/", 1404257464)</f>
        <v>1404257464</v>
      </c>
      <c r="D5226">
        <v>11852.29</v>
      </c>
    </row>
    <row r="5227" spans="1:4" hidden="1" x14ac:dyDescent="0.25">
      <c r="A5227" t="s">
        <v>663</v>
      </c>
      <c r="B5227" t="s">
        <v>36</v>
      </c>
      <c r="C5227" s="2">
        <f>HYPERLINK("https://sao.dolgi.msk.ru/account/1404257624/", 1404257624)</f>
        <v>1404257624</v>
      </c>
      <c r="D5227">
        <v>-30617.49</v>
      </c>
    </row>
    <row r="5228" spans="1:4" hidden="1" x14ac:dyDescent="0.25">
      <c r="A5228" t="s">
        <v>663</v>
      </c>
      <c r="B5228" t="s">
        <v>37</v>
      </c>
      <c r="C5228" s="2">
        <f>HYPERLINK("https://sao.dolgi.msk.ru/account/1404256998/", 1404256998)</f>
        <v>1404256998</v>
      </c>
      <c r="D5228">
        <v>0</v>
      </c>
    </row>
    <row r="5229" spans="1:4" hidden="1" x14ac:dyDescent="0.25">
      <c r="A5229" t="s">
        <v>663</v>
      </c>
      <c r="B5229" t="s">
        <v>38</v>
      </c>
      <c r="C5229" s="2">
        <f>HYPERLINK("https://sao.dolgi.msk.ru/account/1404257288/", 1404257288)</f>
        <v>1404257288</v>
      </c>
      <c r="D5229">
        <v>-2069.6799999999998</v>
      </c>
    </row>
    <row r="5230" spans="1:4" hidden="1" x14ac:dyDescent="0.25">
      <c r="A5230" t="s">
        <v>663</v>
      </c>
      <c r="B5230" t="s">
        <v>39</v>
      </c>
      <c r="C5230" s="2">
        <f>HYPERLINK("https://sao.dolgi.msk.ru/account/1404257296/", 1404257296)</f>
        <v>1404257296</v>
      </c>
      <c r="D5230">
        <v>0</v>
      </c>
    </row>
    <row r="5231" spans="1:4" hidden="1" x14ac:dyDescent="0.25">
      <c r="A5231" t="s">
        <v>663</v>
      </c>
      <c r="B5231" t="s">
        <v>40</v>
      </c>
      <c r="C5231" s="2">
        <f>HYPERLINK("https://sao.dolgi.msk.ru/account/1404257018/", 1404257018)</f>
        <v>1404257018</v>
      </c>
      <c r="D5231">
        <v>-6614.18</v>
      </c>
    </row>
    <row r="5232" spans="1:4" hidden="1" x14ac:dyDescent="0.25">
      <c r="A5232" t="s">
        <v>663</v>
      </c>
      <c r="B5232" t="s">
        <v>41</v>
      </c>
      <c r="C5232" s="2">
        <f>HYPERLINK("https://sao.dolgi.msk.ru/account/1404257309/", 1404257309)</f>
        <v>1404257309</v>
      </c>
      <c r="D5232">
        <v>-6391.72</v>
      </c>
    </row>
    <row r="5233" spans="1:4" x14ac:dyDescent="0.25">
      <c r="A5233" t="s">
        <v>663</v>
      </c>
      <c r="B5233" t="s">
        <v>42</v>
      </c>
      <c r="C5233" s="2">
        <f>HYPERLINK("https://sao.dolgi.msk.ru/account/1404257317/", 1404257317)</f>
        <v>1404257317</v>
      </c>
      <c r="D5233">
        <v>8125.19</v>
      </c>
    </row>
    <row r="5234" spans="1:4" hidden="1" x14ac:dyDescent="0.25">
      <c r="A5234" t="s">
        <v>663</v>
      </c>
      <c r="B5234" t="s">
        <v>43</v>
      </c>
      <c r="C5234" s="2">
        <f>HYPERLINK("https://sao.dolgi.msk.ru/account/1404257632/", 1404257632)</f>
        <v>1404257632</v>
      </c>
      <c r="D5234">
        <v>-6255.52</v>
      </c>
    </row>
    <row r="5235" spans="1:4" x14ac:dyDescent="0.25">
      <c r="A5235" t="s">
        <v>663</v>
      </c>
      <c r="B5235" t="s">
        <v>44</v>
      </c>
      <c r="C5235" s="2">
        <f>HYPERLINK("https://sao.dolgi.msk.ru/account/1404257026/", 1404257026)</f>
        <v>1404257026</v>
      </c>
      <c r="D5235">
        <v>18761.79</v>
      </c>
    </row>
    <row r="5236" spans="1:4" hidden="1" x14ac:dyDescent="0.25">
      <c r="A5236" t="s">
        <v>663</v>
      </c>
      <c r="B5236" t="s">
        <v>45</v>
      </c>
      <c r="C5236" s="2">
        <f>HYPERLINK("https://sao.dolgi.msk.ru/account/1404258045/", 1404258045)</f>
        <v>1404258045</v>
      </c>
      <c r="D5236">
        <v>0</v>
      </c>
    </row>
    <row r="5237" spans="1:4" hidden="1" x14ac:dyDescent="0.25">
      <c r="A5237" t="s">
        <v>663</v>
      </c>
      <c r="B5237" t="s">
        <v>46</v>
      </c>
      <c r="C5237" s="2">
        <f>HYPERLINK("https://sao.dolgi.msk.ru/account/1404257333/", 1404257333)</f>
        <v>1404257333</v>
      </c>
      <c r="D5237">
        <v>0</v>
      </c>
    </row>
    <row r="5238" spans="1:4" hidden="1" x14ac:dyDescent="0.25">
      <c r="A5238" t="s">
        <v>663</v>
      </c>
      <c r="B5238" t="s">
        <v>47</v>
      </c>
      <c r="C5238" s="2">
        <f>HYPERLINK("https://sao.dolgi.msk.ru/account/1404257958/", 1404257958)</f>
        <v>1404257958</v>
      </c>
      <c r="D5238">
        <v>-3773.89</v>
      </c>
    </row>
    <row r="5239" spans="1:4" hidden="1" x14ac:dyDescent="0.25">
      <c r="A5239" t="s">
        <v>663</v>
      </c>
      <c r="B5239" t="s">
        <v>48</v>
      </c>
      <c r="C5239" s="2">
        <f>HYPERLINK("https://sao.dolgi.msk.ru/account/1404257472/", 1404257472)</f>
        <v>1404257472</v>
      </c>
      <c r="D5239">
        <v>-6042.08</v>
      </c>
    </row>
    <row r="5240" spans="1:4" hidden="1" x14ac:dyDescent="0.25">
      <c r="A5240" t="s">
        <v>663</v>
      </c>
      <c r="B5240" t="s">
        <v>49</v>
      </c>
      <c r="C5240" s="2">
        <f>HYPERLINK("https://sao.dolgi.msk.ru/account/1404258053/", 1404258053)</f>
        <v>1404258053</v>
      </c>
      <c r="D5240">
        <v>-4627.8999999999996</v>
      </c>
    </row>
    <row r="5241" spans="1:4" hidden="1" x14ac:dyDescent="0.25">
      <c r="A5241" t="s">
        <v>663</v>
      </c>
      <c r="B5241" t="s">
        <v>50</v>
      </c>
      <c r="C5241" s="2">
        <f>HYPERLINK("https://sao.dolgi.msk.ru/account/1404257552/", 1404257552)</f>
        <v>1404257552</v>
      </c>
      <c r="D5241">
        <v>0</v>
      </c>
    </row>
    <row r="5242" spans="1:4" hidden="1" x14ac:dyDescent="0.25">
      <c r="A5242" t="s">
        <v>663</v>
      </c>
      <c r="B5242" t="s">
        <v>51</v>
      </c>
      <c r="C5242" s="2">
        <f>HYPERLINK("https://sao.dolgi.msk.ru/account/1404257907/", 1404257907)</f>
        <v>1404257907</v>
      </c>
      <c r="D5242">
        <v>-4803.33</v>
      </c>
    </row>
    <row r="5243" spans="1:4" hidden="1" x14ac:dyDescent="0.25">
      <c r="A5243" t="s">
        <v>663</v>
      </c>
      <c r="B5243" t="s">
        <v>52</v>
      </c>
      <c r="C5243" s="2">
        <f>HYPERLINK("https://sao.dolgi.msk.ru/account/1404257739/", 1404257739)</f>
        <v>1404257739</v>
      </c>
      <c r="D5243">
        <v>-4136.41</v>
      </c>
    </row>
    <row r="5244" spans="1:4" hidden="1" x14ac:dyDescent="0.25">
      <c r="A5244" t="s">
        <v>663</v>
      </c>
      <c r="B5244" t="s">
        <v>53</v>
      </c>
      <c r="C5244" s="2">
        <f>HYPERLINK("https://sao.dolgi.msk.ru/account/1404257392/", 1404257392)</f>
        <v>1404257392</v>
      </c>
      <c r="D5244">
        <v>0</v>
      </c>
    </row>
    <row r="5245" spans="1:4" hidden="1" x14ac:dyDescent="0.25">
      <c r="A5245" t="s">
        <v>663</v>
      </c>
      <c r="B5245" t="s">
        <v>54</v>
      </c>
      <c r="C5245" s="2">
        <f>HYPERLINK("https://sao.dolgi.msk.ru/account/1404257579/", 1404257579)</f>
        <v>1404257579</v>
      </c>
      <c r="D5245">
        <v>-3065.91</v>
      </c>
    </row>
    <row r="5246" spans="1:4" hidden="1" x14ac:dyDescent="0.25">
      <c r="A5246" t="s">
        <v>663</v>
      </c>
      <c r="B5246" t="s">
        <v>55</v>
      </c>
      <c r="C5246" s="2">
        <f>HYPERLINK("https://sao.dolgi.msk.ru/account/1404257747/", 1404257747)</f>
        <v>1404257747</v>
      </c>
      <c r="D5246">
        <v>-568.24</v>
      </c>
    </row>
    <row r="5247" spans="1:4" hidden="1" x14ac:dyDescent="0.25">
      <c r="A5247" t="s">
        <v>663</v>
      </c>
      <c r="B5247" t="s">
        <v>56</v>
      </c>
      <c r="C5247" s="2">
        <f>HYPERLINK("https://sao.dolgi.msk.ru/account/1404257413/", 1404257413)</f>
        <v>1404257413</v>
      </c>
      <c r="D5247">
        <v>0</v>
      </c>
    </row>
    <row r="5248" spans="1:4" hidden="1" x14ac:dyDescent="0.25">
      <c r="A5248" t="s">
        <v>663</v>
      </c>
      <c r="B5248" t="s">
        <v>57</v>
      </c>
      <c r="C5248" s="2">
        <f>HYPERLINK("https://sao.dolgi.msk.ru/account/1404257915/", 1404257915)</f>
        <v>1404257915</v>
      </c>
      <c r="D5248">
        <v>-2909.97</v>
      </c>
    </row>
    <row r="5249" spans="1:4" hidden="1" x14ac:dyDescent="0.25">
      <c r="A5249" t="s">
        <v>663</v>
      </c>
      <c r="B5249" t="s">
        <v>58</v>
      </c>
      <c r="C5249" s="2">
        <f>HYPERLINK("https://sao.dolgi.msk.ru/account/1404257421/", 1404257421)</f>
        <v>1404257421</v>
      </c>
      <c r="D5249">
        <v>-3700.86</v>
      </c>
    </row>
    <row r="5250" spans="1:4" hidden="1" x14ac:dyDescent="0.25">
      <c r="A5250" t="s">
        <v>663</v>
      </c>
      <c r="B5250" t="s">
        <v>59</v>
      </c>
      <c r="C5250" s="2">
        <f>HYPERLINK("https://sao.dolgi.msk.ru/account/1404257755/", 1404257755)</f>
        <v>1404257755</v>
      </c>
      <c r="D5250">
        <v>-2668.62</v>
      </c>
    </row>
    <row r="5251" spans="1:4" hidden="1" x14ac:dyDescent="0.25">
      <c r="A5251" t="s">
        <v>663</v>
      </c>
      <c r="B5251" t="s">
        <v>60</v>
      </c>
      <c r="C5251" s="2">
        <f>HYPERLINK("https://sao.dolgi.msk.ru/account/1404257587/", 1404257587)</f>
        <v>1404257587</v>
      </c>
      <c r="D5251">
        <v>-5412.36</v>
      </c>
    </row>
    <row r="5252" spans="1:4" hidden="1" x14ac:dyDescent="0.25">
      <c r="A5252" t="s">
        <v>663</v>
      </c>
      <c r="B5252" t="s">
        <v>61</v>
      </c>
      <c r="C5252" s="2">
        <f>HYPERLINK("https://sao.dolgi.msk.ru/account/1404257923/", 1404257923)</f>
        <v>1404257923</v>
      </c>
      <c r="D5252">
        <v>-1933.73</v>
      </c>
    </row>
    <row r="5253" spans="1:4" x14ac:dyDescent="0.25">
      <c r="A5253" t="s">
        <v>663</v>
      </c>
      <c r="B5253" t="s">
        <v>62</v>
      </c>
      <c r="C5253" s="2">
        <f>HYPERLINK("https://sao.dolgi.msk.ru/account/1404258029/", 1404258029)</f>
        <v>1404258029</v>
      </c>
      <c r="D5253">
        <v>8249.36</v>
      </c>
    </row>
    <row r="5254" spans="1:4" hidden="1" x14ac:dyDescent="0.25">
      <c r="A5254" t="s">
        <v>663</v>
      </c>
      <c r="B5254" t="s">
        <v>63</v>
      </c>
      <c r="C5254" s="2">
        <f>HYPERLINK("https://sao.dolgi.msk.ru/account/1404257202/", 1404257202)</f>
        <v>1404257202</v>
      </c>
      <c r="D5254">
        <v>0</v>
      </c>
    </row>
    <row r="5255" spans="1:4" hidden="1" x14ac:dyDescent="0.25">
      <c r="A5255" t="s">
        <v>663</v>
      </c>
      <c r="B5255" t="s">
        <v>64</v>
      </c>
      <c r="C5255" s="2">
        <f>HYPERLINK("https://sao.dolgi.msk.ru/account/1404257448/", 1404257448)</f>
        <v>1404257448</v>
      </c>
      <c r="D5255">
        <v>-5369.13</v>
      </c>
    </row>
    <row r="5256" spans="1:4" hidden="1" x14ac:dyDescent="0.25">
      <c r="A5256" t="s">
        <v>663</v>
      </c>
      <c r="B5256" t="s">
        <v>65</v>
      </c>
      <c r="C5256" s="2">
        <f>HYPERLINK("https://sao.dolgi.msk.ru/account/1404257931/", 1404257931)</f>
        <v>1404257931</v>
      </c>
      <c r="D5256">
        <v>0</v>
      </c>
    </row>
    <row r="5257" spans="1:4" hidden="1" x14ac:dyDescent="0.25">
      <c r="A5257" t="s">
        <v>663</v>
      </c>
      <c r="B5257" t="s">
        <v>66</v>
      </c>
      <c r="C5257" s="2">
        <f>HYPERLINK("https://sao.dolgi.msk.ru/account/1404257595/", 1404257595)</f>
        <v>1404257595</v>
      </c>
      <c r="D5257">
        <v>-2810.19</v>
      </c>
    </row>
    <row r="5258" spans="1:4" hidden="1" x14ac:dyDescent="0.25">
      <c r="A5258" t="s">
        <v>663</v>
      </c>
      <c r="B5258" t="s">
        <v>67</v>
      </c>
      <c r="C5258" s="2">
        <f>HYPERLINK("https://sao.dolgi.msk.ru/account/1404257456/", 1404257456)</f>
        <v>1404257456</v>
      </c>
      <c r="D5258">
        <v>0</v>
      </c>
    </row>
    <row r="5259" spans="1:4" hidden="1" x14ac:dyDescent="0.25">
      <c r="A5259" t="s">
        <v>663</v>
      </c>
      <c r="B5259" t="s">
        <v>68</v>
      </c>
      <c r="C5259" s="2">
        <f>HYPERLINK("https://sao.dolgi.msk.ru/account/1404257237/", 1404257237)</f>
        <v>1404257237</v>
      </c>
      <c r="D5259">
        <v>-4185.49</v>
      </c>
    </row>
    <row r="5260" spans="1:4" hidden="1" x14ac:dyDescent="0.25">
      <c r="A5260" t="s">
        <v>663</v>
      </c>
      <c r="B5260" t="s">
        <v>69</v>
      </c>
      <c r="C5260" s="2">
        <f>HYPERLINK("https://sao.dolgi.msk.ru/account/1404257245/", 1404257245)</f>
        <v>1404257245</v>
      </c>
      <c r="D5260">
        <v>0</v>
      </c>
    </row>
    <row r="5261" spans="1:4" x14ac:dyDescent="0.25">
      <c r="A5261" t="s">
        <v>663</v>
      </c>
      <c r="B5261" t="s">
        <v>70</v>
      </c>
      <c r="C5261" s="2">
        <f>HYPERLINK("https://sao.dolgi.msk.ru/account/1404258037/", 1404258037)</f>
        <v>1404258037</v>
      </c>
      <c r="D5261">
        <v>28933.360000000001</v>
      </c>
    </row>
    <row r="5262" spans="1:4" hidden="1" x14ac:dyDescent="0.25">
      <c r="A5262" t="s">
        <v>663</v>
      </c>
      <c r="B5262" t="s">
        <v>71</v>
      </c>
      <c r="C5262" s="2">
        <f>HYPERLINK("https://sao.dolgi.msk.ru/account/1404257165/", 1404257165)</f>
        <v>1404257165</v>
      </c>
      <c r="D5262">
        <v>-2677.02</v>
      </c>
    </row>
    <row r="5263" spans="1:4" x14ac:dyDescent="0.25">
      <c r="A5263" t="s">
        <v>663</v>
      </c>
      <c r="B5263" t="s">
        <v>72</v>
      </c>
      <c r="C5263" s="2">
        <f>HYPERLINK("https://sao.dolgi.msk.ru/account/1404257608/", 1404257608)</f>
        <v>1404257608</v>
      </c>
      <c r="D5263">
        <v>17907.02</v>
      </c>
    </row>
    <row r="5264" spans="1:4" hidden="1" x14ac:dyDescent="0.25">
      <c r="A5264" t="s">
        <v>663</v>
      </c>
      <c r="B5264" t="s">
        <v>73</v>
      </c>
      <c r="C5264" s="2">
        <f>HYPERLINK("https://sao.dolgi.msk.ru/account/1404257253/", 1404257253)</f>
        <v>1404257253</v>
      </c>
      <c r="D5264">
        <v>-4242.1000000000004</v>
      </c>
    </row>
    <row r="5265" spans="1:4" x14ac:dyDescent="0.25">
      <c r="A5265" t="s">
        <v>663</v>
      </c>
      <c r="B5265" t="s">
        <v>74</v>
      </c>
      <c r="C5265" s="2">
        <f>HYPERLINK("https://sao.dolgi.msk.ru/account/1404257173/", 1404257173)</f>
        <v>1404257173</v>
      </c>
      <c r="D5265">
        <v>10212.66</v>
      </c>
    </row>
    <row r="5266" spans="1:4" hidden="1" x14ac:dyDescent="0.25">
      <c r="A5266" t="s">
        <v>663</v>
      </c>
      <c r="B5266" t="s">
        <v>75</v>
      </c>
      <c r="C5266" s="2">
        <f>HYPERLINK("https://sao.dolgi.msk.ru/account/1404256904/", 1404256904)</f>
        <v>1404256904</v>
      </c>
      <c r="D5266">
        <v>-59.27</v>
      </c>
    </row>
    <row r="5267" spans="1:4" hidden="1" x14ac:dyDescent="0.25">
      <c r="A5267" t="s">
        <v>663</v>
      </c>
      <c r="B5267" t="s">
        <v>76</v>
      </c>
      <c r="C5267" s="2">
        <f>HYPERLINK("https://sao.dolgi.msk.ru/account/1404258002/", 1404258002)</f>
        <v>1404258002</v>
      </c>
      <c r="D5267">
        <v>-4721.99</v>
      </c>
    </row>
    <row r="5268" spans="1:4" x14ac:dyDescent="0.25">
      <c r="A5268" t="s">
        <v>663</v>
      </c>
      <c r="B5268" t="s">
        <v>77</v>
      </c>
      <c r="C5268" s="2">
        <f>HYPERLINK("https://sao.dolgi.msk.ru/account/1404257376/", 1404257376)</f>
        <v>1404257376</v>
      </c>
      <c r="D5268">
        <v>22861.65</v>
      </c>
    </row>
    <row r="5269" spans="1:4" hidden="1" x14ac:dyDescent="0.25">
      <c r="A5269" t="s">
        <v>663</v>
      </c>
      <c r="B5269" t="s">
        <v>78</v>
      </c>
      <c r="C5269" s="2">
        <f>HYPERLINK("https://sao.dolgi.msk.ru/account/1404257878/", 1404257878)</f>
        <v>1404257878</v>
      </c>
      <c r="D5269">
        <v>-4918.2299999999996</v>
      </c>
    </row>
    <row r="5270" spans="1:4" hidden="1" x14ac:dyDescent="0.25">
      <c r="A5270" t="s">
        <v>663</v>
      </c>
      <c r="B5270" t="s">
        <v>79</v>
      </c>
      <c r="C5270" s="2">
        <f>HYPERLINK("https://sao.dolgi.msk.ru/account/1404257886/", 1404257886)</f>
        <v>1404257886</v>
      </c>
      <c r="D5270">
        <v>-6276.56</v>
      </c>
    </row>
    <row r="5271" spans="1:4" x14ac:dyDescent="0.25">
      <c r="A5271" t="s">
        <v>663</v>
      </c>
      <c r="B5271" t="s">
        <v>80</v>
      </c>
      <c r="C5271" s="2">
        <f>HYPERLINK("https://sao.dolgi.msk.ru/account/1404256912/", 1404256912)</f>
        <v>1404256912</v>
      </c>
      <c r="D5271">
        <v>52917.55</v>
      </c>
    </row>
    <row r="5272" spans="1:4" hidden="1" x14ac:dyDescent="0.25">
      <c r="A5272" t="s">
        <v>663</v>
      </c>
      <c r="B5272" t="s">
        <v>81</v>
      </c>
      <c r="C5272" s="2">
        <f>HYPERLINK("https://sao.dolgi.msk.ru/account/1404257384/", 1404257384)</f>
        <v>1404257384</v>
      </c>
      <c r="D5272">
        <v>-2764.5</v>
      </c>
    </row>
    <row r="5273" spans="1:4" hidden="1" x14ac:dyDescent="0.25">
      <c r="A5273" t="s">
        <v>663</v>
      </c>
      <c r="B5273" t="s">
        <v>82</v>
      </c>
      <c r="C5273" s="2">
        <f>HYPERLINK("https://sao.dolgi.msk.ru/account/1404257149/", 1404257149)</f>
        <v>1404257149</v>
      </c>
      <c r="D5273">
        <v>0</v>
      </c>
    </row>
    <row r="5274" spans="1:4" hidden="1" x14ac:dyDescent="0.25">
      <c r="A5274" t="s">
        <v>663</v>
      </c>
      <c r="B5274" t="s">
        <v>83</v>
      </c>
      <c r="C5274" s="2">
        <f>HYPERLINK("https://sao.dolgi.msk.ru/account/1404257712/", 1404257712)</f>
        <v>1404257712</v>
      </c>
      <c r="D5274">
        <v>-6666.47</v>
      </c>
    </row>
    <row r="5275" spans="1:4" x14ac:dyDescent="0.25">
      <c r="A5275" t="s">
        <v>663</v>
      </c>
      <c r="B5275" t="s">
        <v>84</v>
      </c>
      <c r="C5275" s="2">
        <f>HYPERLINK("https://sao.dolgi.msk.ru/account/1404257157/", 1404257157)</f>
        <v>1404257157</v>
      </c>
      <c r="D5275">
        <v>33631.35</v>
      </c>
    </row>
    <row r="5276" spans="1:4" hidden="1" x14ac:dyDescent="0.25">
      <c r="A5276" t="s">
        <v>663</v>
      </c>
      <c r="B5276" t="s">
        <v>85</v>
      </c>
      <c r="C5276" s="2">
        <f>HYPERLINK("https://sao.dolgi.msk.ru/account/1404257894/", 1404257894)</f>
        <v>1404257894</v>
      </c>
      <c r="D5276">
        <v>-5804.23</v>
      </c>
    </row>
    <row r="5277" spans="1:4" x14ac:dyDescent="0.25">
      <c r="A5277" t="s">
        <v>663</v>
      </c>
      <c r="B5277" t="s">
        <v>86</v>
      </c>
      <c r="C5277" s="2">
        <f>HYPERLINK("https://sao.dolgi.msk.ru/account/1404256947/", 1404256947)</f>
        <v>1404256947</v>
      </c>
      <c r="D5277">
        <v>15174.22</v>
      </c>
    </row>
    <row r="5278" spans="1:4" hidden="1" x14ac:dyDescent="0.25">
      <c r="A5278" t="s">
        <v>663</v>
      </c>
      <c r="B5278" t="s">
        <v>87</v>
      </c>
      <c r="C5278" s="2">
        <f>HYPERLINK("https://sao.dolgi.msk.ru/account/1404257501/", 1404257501)</f>
        <v>1404257501</v>
      </c>
      <c r="D5278">
        <v>-5347.39</v>
      </c>
    </row>
    <row r="5279" spans="1:4" hidden="1" x14ac:dyDescent="0.25">
      <c r="A5279" t="s">
        <v>663</v>
      </c>
      <c r="B5279" t="s">
        <v>88</v>
      </c>
      <c r="C5279" s="2">
        <f>HYPERLINK("https://sao.dolgi.msk.ru/account/1404257528/", 1404257528)</f>
        <v>1404257528</v>
      </c>
      <c r="D5279">
        <v>0</v>
      </c>
    </row>
    <row r="5280" spans="1:4" hidden="1" x14ac:dyDescent="0.25">
      <c r="A5280" t="s">
        <v>663</v>
      </c>
      <c r="B5280" t="s">
        <v>89</v>
      </c>
      <c r="C5280" s="2">
        <f>HYPERLINK("https://sao.dolgi.msk.ru/account/1404257683/", 1404257683)</f>
        <v>1404257683</v>
      </c>
      <c r="D5280">
        <v>-5748.4</v>
      </c>
    </row>
    <row r="5281" spans="1:4" hidden="1" x14ac:dyDescent="0.25">
      <c r="A5281" t="s">
        <v>663</v>
      </c>
      <c r="B5281" t="s">
        <v>90</v>
      </c>
      <c r="C5281" s="2">
        <f>HYPERLINK("https://sao.dolgi.msk.ru/account/1404257982/", 1404257982)</f>
        <v>1404257982</v>
      </c>
      <c r="D5281">
        <v>0</v>
      </c>
    </row>
    <row r="5282" spans="1:4" hidden="1" x14ac:dyDescent="0.25">
      <c r="A5282" t="s">
        <v>663</v>
      </c>
      <c r="B5282" t="s">
        <v>91</v>
      </c>
      <c r="C5282" s="2">
        <f>HYPERLINK("https://sao.dolgi.msk.ru/account/1404257114/", 1404257114)</f>
        <v>1404257114</v>
      </c>
      <c r="D5282">
        <v>-4569.34</v>
      </c>
    </row>
    <row r="5283" spans="1:4" hidden="1" x14ac:dyDescent="0.25">
      <c r="A5283" t="s">
        <v>663</v>
      </c>
      <c r="B5283" t="s">
        <v>92</v>
      </c>
      <c r="C5283" s="2">
        <f>HYPERLINK("https://sao.dolgi.msk.ru/account/1404257122/", 1404257122)</f>
        <v>1404257122</v>
      </c>
      <c r="D5283">
        <v>-5747.49</v>
      </c>
    </row>
    <row r="5284" spans="1:4" hidden="1" x14ac:dyDescent="0.25">
      <c r="A5284" t="s">
        <v>663</v>
      </c>
      <c r="B5284" t="s">
        <v>93</v>
      </c>
      <c r="C5284" s="2">
        <f>HYPERLINK("https://sao.dolgi.msk.ru/account/1404257536/", 1404257536)</f>
        <v>1404257536</v>
      </c>
      <c r="D5284">
        <v>-2680.33</v>
      </c>
    </row>
    <row r="5285" spans="1:4" hidden="1" x14ac:dyDescent="0.25">
      <c r="A5285" t="s">
        <v>663</v>
      </c>
      <c r="B5285" t="s">
        <v>94</v>
      </c>
      <c r="C5285" s="2">
        <f>HYPERLINK("https://sao.dolgi.msk.ru/account/1404257704/", 1404257704)</f>
        <v>1404257704</v>
      </c>
      <c r="D5285">
        <v>-4554.5600000000004</v>
      </c>
    </row>
    <row r="5286" spans="1:4" x14ac:dyDescent="0.25">
      <c r="A5286" t="s">
        <v>663</v>
      </c>
      <c r="B5286" t="s">
        <v>95</v>
      </c>
      <c r="C5286" s="2">
        <f>HYPERLINK("https://sao.dolgi.msk.ru/account/1404257544/", 1404257544)</f>
        <v>1404257544</v>
      </c>
      <c r="D5286">
        <v>13461.64</v>
      </c>
    </row>
    <row r="5287" spans="1:4" hidden="1" x14ac:dyDescent="0.25">
      <c r="A5287" t="s">
        <v>663</v>
      </c>
      <c r="B5287" t="s">
        <v>96</v>
      </c>
      <c r="C5287" s="2">
        <f>HYPERLINK("https://sao.dolgi.msk.ru/account/1404257093/", 1404257093)</f>
        <v>1404257093</v>
      </c>
      <c r="D5287">
        <v>0</v>
      </c>
    </row>
    <row r="5288" spans="1:4" hidden="1" x14ac:dyDescent="0.25">
      <c r="A5288" t="s">
        <v>663</v>
      </c>
      <c r="B5288" t="s">
        <v>97</v>
      </c>
      <c r="C5288" s="2">
        <f>HYPERLINK("https://sao.dolgi.msk.ru/account/1404257851/", 1404257851)</f>
        <v>1404257851</v>
      </c>
      <c r="D5288">
        <v>-6655.37</v>
      </c>
    </row>
    <row r="5289" spans="1:4" hidden="1" x14ac:dyDescent="0.25">
      <c r="A5289" t="s">
        <v>663</v>
      </c>
      <c r="B5289" t="s">
        <v>98</v>
      </c>
      <c r="C5289" s="2">
        <f>HYPERLINK("https://sao.dolgi.msk.ru/account/1404257499/", 1404257499)</f>
        <v>1404257499</v>
      </c>
      <c r="D5289">
        <v>-161.11000000000001</v>
      </c>
    </row>
    <row r="5290" spans="1:4" hidden="1" x14ac:dyDescent="0.25">
      <c r="A5290" t="s">
        <v>663</v>
      </c>
      <c r="B5290" t="s">
        <v>99</v>
      </c>
      <c r="C5290" s="2">
        <f>HYPERLINK("https://sao.dolgi.msk.ru/account/1404257106/", 1404257106)</f>
        <v>1404257106</v>
      </c>
      <c r="D5290">
        <v>-4733.47</v>
      </c>
    </row>
    <row r="5291" spans="1:4" hidden="1" x14ac:dyDescent="0.25">
      <c r="A5291" t="s">
        <v>663</v>
      </c>
      <c r="B5291" t="s">
        <v>100</v>
      </c>
      <c r="C5291" s="2">
        <f>HYPERLINK("https://sao.dolgi.msk.ru/account/1404257974/", 1404257974)</f>
        <v>1404257974</v>
      </c>
      <c r="D5291">
        <v>-6287.22</v>
      </c>
    </row>
    <row r="5292" spans="1:4" hidden="1" x14ac:dyDescent="0.25">
      <c r="A5292" t="s">
        <v>663</v>
      </c>
      <c r="B5292" t="s">
        <v>101</v>
      </c>
      <c r="C5292" s="2">
        <f>HYPERLINK("https://sao.dolgi.msk.ru/account/1404258096/", 1404258096)</f>
        <v>1404258096</v>
      </c>
      <c r="D5292">
        <v>0</v>
      </c>
    </row>
    <row r="5293" spans="1:4" hidden="1" x14ac:dyDescent="0.25">
      <c r="A5293" t="s">
        <v>663</v>
      </c>
      <c r="B5293" t="s">
        <v>102</v>
      </c>
      <c r="C5293" s="2">
        <f>HYPERLINK("https://sao.dolgi.msk.ru/account/1404258109/", 1404258109)</f>
        <v>1404258109</v>
      </c>
      <c r="D5293">
        <v>-4105.09</v>
      </c>
    </row>
    <row r="5294" spans="1:4" hidden="1" x14ac:dyDescent="0.25">
      <c r="A5294" t="s">
        <v>664</v>
      </c>
      <c r="B5294" t="s">
        <v>5</v>
      </c>
      <c r="C5294" s="2">
        <f>HYPERLINK("https://sao.dolgi.msk.ru/account/1404109023/", 1404109023)</f>
        <v>1404109023</v>
      </c>
      <c r="D5294">
        <v>-3368.26</v>
      </c>
    </row>
    <row r="5295" spans="1:4" hidden="1" x14ac:dyDescent="0.25">
      <c r="A5295" t="s">
        <v>664</v>
      </c>
      <c r="B5295" t="s">
        <v>6</v>
      </c>
      <c r="C5295" s="2">
        <f>HYPERLINK("https://sao.dolgi.msk.ru/account/1404110737/", 1404110737)</f>
        <v>1404110737</v>
      </c>
      <c r="D5295">
        <v>0</v>
      </c>
    </row>
    <row r="5296" spans="1:4" hidden="1" x14ac:dyDescent="0.25">
      <c r="A5296" t="s">
        <v>664</v>
      </c>
      <c r="B5296" t="s">
        <v>7</v>
      </c>
      <c r="C5296" s="2">
        <f>HYPERLINK("https://sao.dolgi.msk.ru/account/1404111772/", 1404111772)</f>
        <v>1404111772</v>
      </c>
      <c r="D5296">
        <v>-17263.89</v>
      </c>
    </row>
    <row r="5297" spans="1:4" hidden="1" x14ac:dyDescent="0.25">
      <c r="A5297" t="s">
        <v>664</v>
      </c>
      <c r="B5297" t="s">
        <v>8</v>
      </c>
      <c r="C5297" s="2">
        <f>HYPERLINK("https://sao.dolgi.msk.ru/account/1404109605/", 1404109605)</f>
        <v>1404109605</v>
      </c>
      <c r="D5297">
        <v>-5637.79</v>
      </c>
    </row>
    <row r="5298" spans="1:4" hidden="1" x14ac:dyDescent="0.25">
      <c r="A5298" t="s">
        <v>664</v>
      </c>
      <c r="B5298" t="s">
        <v>9</v>
      </c>
      <c r="C5298" s="2">
        <f>HYPERLINK("https://sao.dolgi.msk.ru/account/1404110016/", 1404110016)</f>
        <v>1404110016</v>
      </c>
      <c r="D5298">
        <v>-5325.95</v>
      </c>
    </row>
    <row r="5299" spans="1:4" hidden="1" x14ac:dyDescent="0.25">
      <c r="A5299" t="s">
        <v>664</v>
      </c>
      <c r="B5299" t="s">
        <v>10</v>
      </c>
      <c r="C5299" s="2">
        <f>HYPERLINK("https://sao.dolgi.msk.ru/account/1404110825/", 1404110825)</f>
        <v>1404110825</v>
      </c>
      <c r="D5299">
        <v>-254.49</v>
      </c>
    </row>
    <row r="5300" spans="1:4" hidden="1" x14ac:dyDescent="0.25">
      <c r="A5300" t="s">
        <v>664</v>
      </c>
      <c r="B5300" t="s">
        <v>11</v>
      </c>
      <c r="C5300" s="2">
        <f>HYPERLINK("https://sao.dolgi.msk.ru/account/1404109189/", 1404109189)</f>
        <v>1404109189</v>
      </c>
      <c r="D5300">
        <v>-4019.99</v>
      </c>
    </row>
    <row r="5301" spans="1:4" hidden="1" x14ac:dyDescent="0.25">
      <c r="A5301" t="s">
        <v>664</v>
      </c>
      <c r="B5301" t="s">
        <v>12</v>
      </c>
      <c r="C5301" s="2">
        <f>HYPERLINK("https://sao.dolgi.msk.ru/account/1404111529/", 1404111529)</f>
        <v>1404111529</v>
      </c>
      <c r="D5301">
        <v>-6322.72</v>
      </c>
    </row>
    <row r="5302" spans="1:4" hidden="1" x14ac:dyDescent="0.25">
      <c r="A5302" t="s">
        <v>664</v>
      </c>
      <c r="B5302" t="s">
        <v>13</v>
      </c>
      <c r="C5302" s="2">
        <f>HYPERLINK("https://sao.dolgi.msk.ru/account/1404110892/", 1404110892)</f>
        <v>1404110892</v>
      </c>
      <c r="D5302">
        <v>0</v>
      </c>
    </row>
    <row r="5303" spans="1:4" x14ac:dyDescent="0.25">
      <c r="A5303" t="s">
        <v>664</v>
      </c>
      <c r="B5303" t="s">
        <v>14</v>
      </c>
      <c r="C5303" s="2">
        <f>HYPERLINK("https://sao.dolgi.msk.ru/account/1404109912/", 1404109912)</f>
        <v>1404109912</v>
      </c>
      <c r="D5303">
        <v>1197.17</v>
      </c>
    </row>
    <row r="5304" spans="1:4" hidden="1" x14ac:dyDescent="0.25">
      <c r="A5304" t="s">
        <v>664</v>
      </c>
      <c r="B5304" t="s">
        <v>15</v>
      </c>
      <c r="C5304" s="2">
        <f>HYPERLINK("https://sao.dolgi.msk.ru/account/1404109058/", 1404109058)</f>
        <v>1404109058</v>
      </c>
      <c r="D5304">
        <v>-2963.37</v>
      </c>
    </row>
    <row r="5305" spans="1:4" hidden="1" x14ac:dyDescent="0.25">
      <c r="A5305" t="s">
        <v>664</v>
      </c>
      <c r="B5305" t="s">
        <v>16</v>
      </c>
      <c r="C5305" s="2">
        <f>HYPERLINK("https://sao.dolgi.msk.ru/account/1404109269/", 1404109269)</f>
        <v>1404109269</v>
      </c>
      <c r="D5305">
        <v>-575.41</v>
      </c>
    </row>
    <row r="5306" spans="1:4" hidden="1" x14ac:dyDescent="0.25">
      <c r="A5306" t="s">
        <v>664</v>
      </c>
      <c r="B5306" t="s">
        <v>16</v>
      </c>
      <c r="C5306" s="2">
        <f>HYPERLINK("https://sao.dolgi.msk.ru/account/1404111406/", 1404111406)</f>
        <v>1404111406</v>
      </c>
      <c r="D5306">
        <v>-2902.74</v>
      </c>
    </row>
    <row r="5307" spans="1:4" hidden="1" x14ac:dyDescent="0.25">
      <c r="A5307" t="s">
        <v>664</v>
      </c>
      <c r="B5307" t="s">
        <v>17</v>
      </c>
      <c r="C5307" s="2">
        <f>HYPERLINK("https://sao.dolgi.msk.ru/account/1404111457/", 1404111457)</f>
        <v>1404111457</v>
      </c>
      <c r="D5307">
        <v>-3866.66</v>
      </c>
    </row>
    <row r="5308" spans="1:4" hidden="1" x14ac:dyDescent="0.25">
      <c r="A5308" t="s">
        <v>664</v>
      </c>
      <c r="B5308" t="s">
        <v>18</v>
      </c>
      <c r="C5308" s="2">
        <f>HYPERLINK("https://sao.dolgi.msk.ru/account/1404109541/", 1404109541)</f>
        <v>1404109541</v>
      </c>
      <c r="D5308">
        <v>-5398.4</v>
      </c>
    </row>
    <row r="5309" spans="1:4" hidden="1" x14ac:dyDescent="0.25">
      <c r="A5309" t="s">
        <v>664</v>
      </c>
      <c r="B5309" t="s">
        <v>19</v>
      </c>
      <c r="C5309" s="2">
        <f>HYPERLINK("https://sao.dolgi.msk.ru/account/1404111465/", 1404111465)</f>
        <v>1404111465</v>
      </c>
      <c r="D5309">
        <v>-6683.8</v>
      </c>
    </row>
    <row r="5310" spans="1:4" hidden="1" x14ac:dyDescent="0.25">
      <c r="A5310" t="s">
        <v>664</v>
      </c>
      <c r="B5310" t="s">
        <v>20</v>
      </c>
      <c r="C5310" s="2">
        <f>HYPERLINK("https://sao.dolgi.msk.ru/account/1404110729/", 1404110729)</f>
        <v>1404110729</v>
      </c>
      <c r="D5310">
        <v>-4983.04</v>
      </c>
    </row>
    <row r="5311" spans="1:4" hidden="1" x14ac:dyDescent="0.25">
      <c r="A5311" t="s">
        <v>664</v>
      </c>
      <c r="B5311" t="s">
        <v>21</v>
      </c>
      <c r="C5311" s="2">
        <f>HYPERLINK("https://sao.dolgi.msk.ru/account/1404109082/", 1404109082)</f>
        <v>1404109082</v>
      </c>
      <c r="D5311">
        <v>-400.22</v>
      </c>
    </row>
    <row r="5312" spans="1:4" x14ac:dyDescent="0.25">
      <c r="A5312" t="s">
        <v>664</v>
      </c>
      <c r="B5312" t="s">
        <v>22</v>
      </c>
      <c r="C5312" s="2">
        <f>HYPERLINK("https://sao.dolgi.msk.ru/account/1404109947/", 1404109947)</f>
        <v>1404109947</v>
      </c>
      <c r="D5312">
        <v>5337.57</v>
      </c>
    </row>
    <row r="5313" spans="1:4" hidden="1" x14ac:dyDescent="0.25">
      <c r="A5313" t="s">
        <v>664</v>
      </c>
      <c r="B5313" t="s">
        <v>23</v>
      </c>
      <c r="C5313" s="2">
        <f>HYPERLINK("https://sao.dolgi.msk.ru/account/1404109744/", 1404109744)</f>
        <v>1404109744</v>
      </c>
      <c r="D5313">
        <v>-1907.23</v>
      </c>
    </row>
    <row r="5314" spans="1:4" hidden="1" x14ac:dyDescent="0.25">
      <c r="A5314" t="s">
        <v>664</v>
      </c>
      <c r="B5314" t="s">
        <v>23</v>
      </c>
      <c r="C5314" s="2">
        <f>HYPERLINK("https://sao.dolgi.msk.ru/account/1404111756/", 1404111756)</f>
        <v>1404111756</v>
      </c>
      <c r="D5314">
        <v>-2413.4</v>
      </c>
    </row>
    <row r="5315" spans="1:4" hidden="1" x14ac:dyDescent="0.25">
      <c r="A5315" t="s">
        <v>664</v>
      </c>
      <c r="B5315" t="s">
        <v>24</v>
      </c>
      <c r="C5315" s="2">
        <f>HYPERLINK("https://sao.dolgi.msk.ru/account/1404139767/", 1404139767)</f>
        <v>1404139767</v>
      </c>
      <c r="D5315">
        <v>-2236.25</v>
      </c>
    </row>
    <row r="5316" spans="1:4" hidden="1" x14ac:dyDescent="0.25">
      <c r="A5316" t="s">
        <v>664</v>
      </c>
      <c r="B5316" t="s">
        <v>25</v>
      </c>
      <c r="C5316" s="2">
        <f>HYPERLINK("https://sao.dolgi.msk.ru/account/1404109963/", 1404109963)</f>
        <v>1404109963</v>
      </c>
      <c r="D5316">
        <v>-3846.01</v>
      </c>
    </row>
    <row r="5317" spans="1:4" hidden="1" x14ac:dyDescent="0.25">
      <c r="A5317" t="s">
        <v>664</v>
      </c>
      <c r="B5317" t="s">
        <v>26</v>
      </c>
      <c r="C5317" s="2">
        <f>HYPERLINK("https://sao.dolgi.msk.ru/account/1404110745/", 1404110745)</f>
        <v>1404110745</v>
      </c>
      <c r="D5317">
        <v>-2415.11</v>
      </c>
    </row>
    <row r="5318" spans="1:4" hidden="1" x14ac:dyDescent="0.25">
      <c r="A5318" t="s">
        <v>664</v>
      </c>
      <c r="B5318" t="s">
        <v>27</v>
      </c>
      <c r="C5318" s="2">
        <f>HYPERLINK("https://sao.dolgi.msk.ru/account/1404109568/", 1404109568)</f>
        <v>1404109568</v>
      </c>
      <c r="D5318">
        <v>-423.54</v>
      </c>
    </row>
    <row r="5319" spans="1:4" hidden="1" x14ac:dyDescent="0.25">
      <c r="A5319" t="s">
        <v>664</v>
      </c>
      <c r="B5319" t="s">
        <v>28</v>
      </c>
      <c r="C5319" s="2">
        <f>HYPERLINK("https://sao.dolgi.msk.ru/account/1404109576/", 1404109576)</f>
        <v>1404109576</v>
      </c>
      <c r="D5319">
        <v>-6827.83</v>
      </c>
    </row>
    <row r="5320" spans="1:4" hidden="1" x14ac:dyDescent="0.25">
      <c r="A5320" t="s">
        <v>664</v>
      </c>
      <c r="B5320" t="s">
        <v>29</v>
      </c>
      <c r="C5320" s="2">
        <f>HYPERLINK("https://sao.dolgi.msk.ru/account/1404109584/", 1404109584)</f>
        <v>1404109584</v>
      </c>
      <c r="D5320">
        <v>-7095.45</v>
      </c>
    </row>
    <row r="5321" spans="1:4" hidden="1" x14ac:dyDescent="0.25">
      <c r="A5321" t="s">
        <v>664</v>
      </c>
      <c r="B5321" t="s">
        <v>30</v>
      </c>
      <c r="C5321" s="2">
        <f>HYPERLINK("https://sao.dolgi.msk.ru/account/1404109103/", 1404109103)</f>
        <v>1404109103</v>
      </c>
      <c r="D5321">
        <v>0</v>
      </c>
    </row>
    <row r="5322" spans="1:4" hidden="1" x14ac:dyDescent="0.25">
      <c r="A5322" t="s">
        <v>664</v>
      </c>
      <c r="B5322" t="s">
        <v>31</v>
      </c>
      <c r="C5322" s="2">
        <f>HYPERLINK("https://sao.dolgi.msk.ru/account/1404111764/", 1404111764)</f>
        <v>1404111764</v>
      </c>
      <c r="D5322">
        <v>0</v>
      </c>
    </row>
    <row r="5323" spans="1:4" hidden="1" x14ac:dyDescent="0.25">
      <c r="A5323" t="s">
        <v>664</v>
      </c>
      <c r="B5323" t="s">
        <v>32</v>
      </c>
      <c r="C5323" s="2">
        <f>HYPERLINK("https://sao.dolgi.msk.ru/account/1404110753/", 1404110753)</f>
        <v>1404110753</v>
      </c>
      <c r="D5323">
        <v>0</v>
      </c>
    </row>
    <row r="5324" spans="1:4" hidden="1" x14ac:dyDescent="0.25">
      <c r="A5324" t="s">
        <v>664</v>
      </c>
      <c r="B5324" t="s">
        <v>33</v>
      </c>
      <c r="C5324" s="2">
        <f>HYPERLINK("https://sao.dolgi.msk.ru/account/1404111473/", 1404111473)</f>
        <v>1404111473</v>
      </c>
      <c r="D5324">
        <v>-3838.08</v>
      </c>
    </row>
    <row r="5325" spans="1:4" hidden="1" x14ac:dyDescent="0.25">
      <c r="A5325" t="s">
        <v>664</v>
      </c>
      <c r="B5325" t="s">
        <v>34</v>
      </c>
      <c r="C5325" s="2">
        <f>HYPERLINK("https://sao.dolgi.msk.ru/account/1404110323/", 1404110323)</f>
        <v>1404110323</v>
      </c>
      <c r="D5325">
        <v>-1668.66</v>
      </c>
    </row>
    <row r="5326" spans="1:4" hidden="1" x14ac:dyDescent="0.25">
      <c r="A5326" t="s">
        <v>664</v>
      </c>
      <c r="B5326" t="s">
        <v>35</v>
      </c>
      <c r="C5326" s="2">
        <f>HYPERLINK("https://sao.dolgi.msk.ru/account/1404110331/", 1404110331)</f>
        <v>1404110331</v>
      </c>
      <c r="D5326">
        <v>-5949.16</v>
      </c>
    </row>
    <row r="5327" spans="1:4" hidden="1" x14ac:dyDescent="0.25">
      <c r="A5327" t="s">
        <v>664</v>
      </c>
      <c r="B5327" t="s">
        <v>36</v>
      </c>
      <c r="C5327" s="2">
        <f>HYPERLINK("https://sao.dolgi.msk.ru/account/1404111115/", 1404111115)</f>
        <v>1404111115</v>
      </c>
      <c r="D5327">
        <v>-6184.97</v>
      </c>
    </row>
    <row r="5328" spans="1:4" hidden="1" x14ac:dyDescent="0.25">
      <c r="A5328" t="s">
        <v>664</v>
      </c>
      <c r="B5328" t="s">
        <v>37</v>
      </c>
      <c r="C5328" s="2">
        <f>HYPERLINK("https://sao.dolgi.msk.ru/account/1404110761/", 1404110761)</f>
        <v>1404110761</v>
      </c>
      <c r="D5328">
        <v>-4655.3100000000004</v>
      </c>
    </row>
    <row r="5329" spans="1:4" hidden="1" x14ac:dyDescent="0.25">
      <c r="A5329" t="s">
        <v>664</v>
      </c>
      <c r="B5329" t="s">
        <v>38</v>
      </c>
      <c r="C5329" s="2">
        <f>HYPERLINK("https://sao.dolgi.msk.ru/account/1404109971/", 1404109971)</f>
        <v>1404109971</v>
      </c>
      <c r="D5329">
        <v>-6512.38</v>
      </c>
    </row>
    <row r="5330" spans="1:4" hidden="1" x14ac:dyDescent="0.25">
      <c r="A5330" t="s">
        <v>664</v>
      </c>
      <c r="B5330" t="s">
        <v>39</v>
      </c>
      <c r="C5330" s="2">
        <f>HYPERLINK("https://sao.dolgi.msk.ru/account/1404111799/", 1404111799)</f>
        <v>1404111799</v>
      </c>
      <c r="D5330">
        <v>-337.31</v>
      </c>
    </row>
    <row r="5331" spans="1:4" hidden="1" x14ac:dyDescent="0.25">
      <c r="A5331" t="s">
        <v>664</v>
      </c>
      <c r="B5331" t="s">
        <v>40</v>
      </c>
      <c r="C5331" s="2">
        <f>HYPERLINK("https://sao.dolgi.msk.ru/account/1404109592/", 1404109592)</f>
        <v>1404109592</v>
      </c>
      <c r="D5331">
        <v>-5377.76</v>
      </c>
    </row>
    <row r="5332" spans="1:4" hidden="1" x14ac:dyDescent="0.25">
      <c r="A5332" t="s">
        <v>664</v>
      </c>
      <c r="B5332" t="s">
        <v>41</v>
      </c>
      <c r="C5332" s="2">
        <f>HYPERLINK("https://sao.dolgi.msk.ru/account/1404109111/", 1404109111)</f>
        <v>1404109111</v>
      </c>
      <c r="D5332">
        <v>0</v>
      </c>
    </row>
    <row r="5333" spans="1:4" hidden="1" x14ac:dyDescent="0.25">
      <c r="A5333" t="s">
        <v>664</v>
      </c>
      <c r="B5333" t="s">
        <v>42</v>
      </c>
      <c r="C5333" s="2">
        <f>HYPERLINK("https://sao.dolgi.msk.ru/account/1404110788/", 1404110788)</f>
        <v>1404110788</v>
      </c>
      <c r="D5333">
        <v>-5281.71</v>
      </c>
    </row>
    <row r="5334" spans="1:4" hidden="1" x14ac:dyDescent="0.25">
      <c r="A5334" t="s">
        <v>664</v>
      </c>
      <c r="B5334" t="s">
        <v>43</v>
      </c>
      <c r="C5334" s="2">
        <f>HYPERLINK("https://sao.dolgi.msk.ru/account/1404111801/", 1404111801)</f>
        <v>1404111801</v>
      </c>
      <c r="D5334">
        <v>-5034.3900000000003</v>
      </c>
    </row>
    <row r="5335" spans="1:4" hidden="1" x14ac:dyDescent="0.25">
      <c r="A5335" t="s">
        <v>664</v>
      </c>
      <c r="B5335" t="s">
        <v>44</v>
      </c>
      <c r="C5335" s="2">
        <f>HYPERLINK("https://sao.dolgi.msk.ru/account/1404109613/", 1404109613)</f>
        <v>1404109613</v>
      </c>
      <c r="D5335">
        <v>-7342.67</v>
      </c>
    </row>
    <row r="5336" spans="1:4" hidden="1" x14ac:dyDescent="0.25">
      <c r="A5336" t="s">
        <v>664</v>
      </c>
      <c r="B5336" t="s">
        <v>45</v>
      </c>
      <c r="C5336" s="2">
        <f>HYPERLINK("https://sao.dolgi.msk.ru/account/1404109621/", 1404109621)</f>
        <v>1404109621</v>
      </c>
      <c r="D5336">
        <v>-5654.27</v>
      </c>
    </row>
    <row r="5337" spans="1:4" hidden="1" x14ac:dyDescent="0.25">
      <c r="A5337" t="s">
        <v>664</v>
      </c>
      <c r="B5337" t="s">
        <v>46</v>
      </c>
      <c r="C5337" s="2">
        <f>HYPERLINK("https://sao.dolgi.msk.ru/account/1404110796/", 1404110796)</f>
        <v>1404110796</v>
      </c>
      <c r="D5337">
        <v>-5073.3100000000004</v>
      </c>
    </row>
    <row r="5338" spans="1:4" hidden="1" x14ac:dyDescent="0.25">
      <c r="A5338" t="s">
        <v>664</v>
      </c>
      <c r="B5338" t="s">
        <v>47</v>
      </c>
      <c r="C5338" s="2">
        <f>HYPERLINK("https://sao.dolgi.msk.ru/account/1404110358/", 1404110358)</f>
        <v>1404110358</v>
      </c>
      <c r="D5338">
        <v>-282.99</v>
      </c>
    </row>
    <row r="5339" spans="1:4" hidden="1" x14ac:dyDescent="0.25">
      <c r="A5339" t="s">
        <v>664</v>
      </c>
      <c r="B5339" t="s">
        <v>48</v>
      </c>
      <c r="C5339" s="2">
        <f>HYPERLINK("https://sao.dolgi.msk.ru/account/1404109998/", 1404109998)</f>
        <v>1404109998</v>
      </c>
      <c r="D5339">
        <v>-5651.67</v>
      </c>
    </row>
    <row r="5340" spans="1:4" hidden="1" x14ac:dyDescent="0.25">
      <c r="A5340" t="s">
        <v>664</v>
      </c>
      <c r="B5340" t="s">
        <v>49</v>
      </c>
      <c r="C5340" s="2">
        <f>HYPERLINK("https://sao.dolgi.msk.ru/account/1404111828/", 1404111828)</f>
        <v>1404111828</v>
      </c>
      <c r="D5340">
        <v>-5492.45</v>
      </c>
    </row>
    <row r="5341" spans="1:4" hidden="1" x14ac:dyDescent="0.25">
      <c r="A5341" t="s">
        <v>664</v>
      </c>
      <c r="B5341" t="s">
        <v>50</v>
      </c>
      <c r="C5341" s="2">
        <f>HYPERLINK("https://sao.dolgi.msk.ru/account/1404110366/", 1404110366)</f>
        <v>1404110366</v>
      </c>
      <c r="D5341">
        <v>0</v>
      </c>
    </row>
    <row r="5342" spans="1:4" hidden="1" x14ac:dyDescent="0.25">
      <c r="A5342" t="s">
        <v>664</v>
      </c>
      <c r="B5342" t="s">
        <v>51</v>
      </c>
      <c r="C5342" s="2">
        <f>HYPERLINK("https://sao.dolgi.msk.ru/account/1404110008/", 1404110008)</f>
        <v>1404110008</v>
      </c>
      <c r="D5342">
        <v>-7561.69</v>
      </c>
    </row>
    <row r="5343" spans="1:4" x14ac:dyDescent="0.25">
      <c r="A5343" t="s">
        <v>664</v>
      </c>
      <c r="B5343" t="s">
        <v>52</v>
      </c>
      <c r="C5343" s="2">
        <f>HYPERLINK("https://sao.dolgi.msk.ru/account/1404110809/", 1404110809)</f>
        <v>1404110809</v>
      </c>
      <c r="D5343">
        <v>14941.16</v>
      </c>
    </row>
    <row r="5344" spans="1:4" x14ac:dyDescent="0.25">
      <c r="A5344" t="s">
        <v>664</v>
      </c>
      <c r="B5344" t="s">
        <v>53</v>
      </c>
      <c r="C5344" s="2">
        <f>HYPERLINK("https://sao.dolgi.msk.ru/account/1404109138/", 1404109138)</f>
        <v>1404109138</v>
      </c>
      <c r="D5344">
        <v>13066.46</v>
      </c>
    </row>
    <row r="5345" spans="1:4" hidden="1" x14ac:dyDescent="0.25">
      <c r="A5345" t="s">
        <v>664</v>
      </c>
      <c r="B5345" t="s">
        <v>54</v>
      </c>
      <c r="C5345" s="2">
        <f>HYPERLINK("https://sao.dolgi.msk.ru/account/1404110817/", 1404110817)</f>
        <v>1404110817</v>
      </c>
      <c r="D5345">
        <v>-8537.84</v>
      </c>
    </row>
    <row r="5346" spans="1:4" hidden="1" x14ac:dyDescent="0.25">
      <c r="A5346" t="s">
        <v>664</v>
      </c>
      <c r="B5346" t="s">
        <v>55</v>
      </c>
      <c r="C5346" s="2">
        <f>HYPERLINK("https://sao.dolgi.msk.ru/account/1404110024/", 1404110024)</f>
        <v>1404110024</v>
      </c>
      <c r="D5346">
        <v>-6025.55</v>
      </c>
    </row>
    <row r="5347" spans="1:4" hidden="1" x14ac:dyDescent="0.25">
      <c r="A5347" t="s">
        <v>664</v>
      </c>
      <c r="B5347" t="s">
        <v>56</v>
      </c>
      <c r="C5347" s="2">
        <f>HYPERLINK("https://sao.dolgi.msk.ru/account/1404111123/", 1404111123)</f>
        <v>1404111123</v>
      </c>
      <c r="D5347">
        <v>-3683.24</v>
      </c>
    </row>
    <row r="5348" spans="1:4" hidden="1" x14ac:dyDescent="0.25">
      <c r="A5348" t="s">
        <v>664</v>
      </c>
      <c r="B5348" t="s">
        <v>57</v>
      </c>
      <c r="C5348" s="2">
        <f>HYPERLINK("https://sao.dolgi.msk.ru/account/1404110032/", 1404110032)</f>
        <v>1404110032</v>
      </c>
      <c r="D5348">
        <v>-6546.26</v>
      </c>
    </row>
    <row r="5349" spans="1:4" hidden="1" x14ac:dyDescent="0.25">
      <c r="A5349" t="s">
        <v>664</v>
      </c>
      <c r="B5349" t="s">
        <v>58</v>
      </c>
      <c r="C5349" s="2">
        <f>HYPERLINK("https://sao.dolgi.msk.ru/account/1404110155/", 1404110155)</f>
        <v>1404110155</v>
      </c>
      <c r="D5349">
        <v>0</v>
      </c>
    </row>
    <row r="5350" spans="1:4" x14ac:dyDescent="0.25">
      <c r="A5350" t="s">
        <v>664</v>
      </c>
      <c r="B5350" t="s">
        <v>58</v>
      </c>
      <c r="C5350" s="2">
        <f>HYPERLINK("https://sao.dolgi.msk.ru/account/1404110374/", 1404110374)</f>
        <v>1404110374</v>
      </c>
      <c r="D5350">
        <v>1630.26</v>
      </c>
    </row>
    <row r="5351" spans="1:4" hidden="1" x14ac:dyDescent="0.25">
      <c r="A5351" t="s">
        <v>664</v>
      </c>
      <c r="B5351" t="s">
        <v>59</v>
      </c>
      <c r="C5351" s="2">
        <f>HYPERLINK("https://sao.dolgi.msk.ru/account/1404109146/", 1404109146)</f>
        <v>1404109146</v>
      </c>
      <c r="D5351">
        <v>-4925.91</v>
      </c>
    </row>
    <row r="5352" spans="1:4" hidden="1" x14ac:dyDescent="0.25">
      <c r="A5352" t="s">
        <v>664</v>
      </c>
      <c r="B5352" t="s">
        <v>60</v>
      </c>
      <c r="C5352" s="2">
        <f>HYPERLINK("https://sao.dolgi.msk.ru/account/1404109648/", 1404109648)</f>
        <v>1404109648</v>
      </c>
      <c r="D5352">
        <v>-202.05</v>
      </c>
    </row>
    <row r="5353" spans="1:4" hidden="1" x14ac:dyDescent="0.25">
      <c r="A5353" t="s">
        <v>664</v>
      </c>
      <c r="B5353" t="s">
        <v>61</v>
      </c>
      <c r="C5353" s="2">
        <f>HYPERLINK("https://sao.dolgi.msk.ru/account/1404109656/", 1404109656)</f>
        <v>1404109656</v>
      </c>
      <c r="D5353">
        <v>-424.13</v>
      </c>
    </row>
    <row r="5354" spans="1:4" hidden="1" x14ac:dyDescent="0.25">
      <c r="A5354" t="s">
        <v>664</v>
      </c>
      <c r="B5354" t="s">
        <v>62</v>
      </c>
      <c r="C5354" s="2">
        <f>HYPERLINK("https://sao.dolgi.msk.ru/account/1404110059/", 1404110059)</f>
        <v>1404110059</v>
      </c>
      <c r="D5354">
        <v>-104.71</v>
      </c>
    </row>
    <row r="5355" spans="1:4" hidden="1" x14ac:dyDescent="0.25">
      <c r="A5355" t="s">
        <v>664</v>
      </c>
      <c r="B5355" t="s">
        <v>63</v>
      </c>
      <c r="C5355" s="2">
        <f>HYPERLINK("https://sao.dolgi.msk.ru/account/1404111131/", 1404111131)</f>
        <v>1404111131</v>
      </c>
      <c r="D5355">
        <v>-6360.13</v>
      </c>
    </row>
    <row r="5356" spans="1:4" hidden="1" x14ac:dyDescent="0.25">
      <c r="A5356" t="s">
        <v>664</v>
      </c>
      <c r="B5356" t="s">
        <v>64</v>
      </c>
      <c r="C5356" s="2">
        <f>HYPERLINK("https://sao.dolgi.msk.ru/account/1404110067/", 1404110067)</f>
        <v>1404110067</v>
      </c>
      <c r="D5356">
        <v>-5436.25</v>
      </c>
    </row>
    <row r="5357" spans="1:4" x14ac:dyDescent="0.25">
      <c r="A5357" t="s">
        <v>664</v>
      </c>
      <c r="B5357" t="s">
        <v>65</v>
      </c>
      <c r="C5357" s="2">
        <f>HYPERLINK("https://sao.dolgi.msk.ru/account/1404109664/", 1404109664)</f>
        <v>1404109664</v>
      </c>
      <c r="D5357">
        <v>4190.96</v>
      </c>
    </row>
    <row r="5358" spans="1:4" hidden="1" x14ac:dyDescent="0.25">
      <c r="A5358" t="s">
        <v>664</v>
      </c>
      <c r="B5358" t="s">
        <v>66</v>
      </c>
      <c r="C5358" s="2">
        <f>HYPERLINK("https://sao.dolgi.msk.ru/account/1404109672/", 1404109672)</f>
        <v>1404109672</v>
      </c>
      <c r="D5358">
        <v>-8162.55</v>
      </c>
    </row>
    <row r="5359" spans="1:4" x14ac:dyDescent="0.25">
      <c r="A5359" t="s">
        <v>664</v>
      </c>
      <c r="B5359" t="s">
        <v>67</v>
      </c>
      <c r="C5359" s="2">
        <f>HYPERLINK("https://sao.dolgi.msk.ru/account/1404109154/", 1404109154)</f>
        <v>1404109154</v>
      </c>
      <c r="D5359">
        <v>24305.4</v>
      </c>
    </row>
    <row r="5360" spans="1:4" hidden="1" x14ac:dyDescent="0.25">
      <c r="A5360" t="s">
        <v>664</v>
      </c>
      <c r="B5360" t="s">
        <v>68</v>
      </c>
      <c r="C5360" s="2">
        <f>HYPERLINK("https://sao.dolgi.msk.ru/account/1404111158/", 1404111158)</f>
        <v>1404111158</v>
      </c>
      <c r="D5360">
        <v>0</v>
      </c>
    </row>
    <row r="5361" spans="1:4" x14ac:dyDescent="0.25">
      <c r="A5361" t="s">
        <v>664</v>
      </c>
      <c r="B5361" t="s">
        <v>69</v>
      </c>
      <c r="C5361" s="2">
        <f>HYPERLINK("https://sao.dolgi.msk.ru/account/1404110075/", 1404110075)</f>
        <v>1404110075</v>
      </c>
      <c r="D5361">
        <v>3579.13</v>
      </c>
    </row>
    <row r="5362" spans="1:4" hidden="1" x14ac:dyDescent="0.25">
      <c r="A5362" t="s">
        <v>664</v>
      </c>
      <c r="B5362" t="s">
        <v>70</v>
      </c>
      <c r="C5362" s="2">
        <f>HYPERLINK("https://sao.dolgi.msk.ru/account/1404109699/", 1404109699)</f>
        <v>1404109699</v>
      </c>
      <c r="D5362">
        <v>-3188.84</v>
      </c>
    </row>
    <row r="5363" spans="1:4" hidden="1" x14ac:dyDescent="0.25">
      <c r="A5363" t="s">
        <v>664</v>
      </c>
      <c r="B5363" t="s">
        <v>71</v>
      </c>
      <c r="C5363" s="2">
        <f>HYPERLINK("https://sao.dolgi.msk.ru/account/1404109701/", 1404109701)</f>
        <v>1404109701</v>
      </c>
      <c r="D5363">
        <v>-2355.2199999999998</v>
      </c>
    </row>
    <row r="5364" spans="1:4" hidden="1" x14ac:dyDescent="0.25">
      <c r="A5364" t="s">
        <v>664</v>
      </c>
      <c r="B5364" t="s">
        <v>72</v>
      </c>
      <c r="C5364" s="2">
        <f>HYPERLINK("https://sao.dolgi.msk.ru/account/1404110833/", 1404110833)</f>
        <v>1404110833</v>
      </c>
      <c r="D5364">
        <v>-270.04000000000002</v>
      </c>
    </row>
    <row r="5365" spans="1:4" hidden="1" x14ac:dyDescent="0.25">
      <c r="A5365" t="s">
        <v>664</v>
      </c>
      <c r="B5365" t="s">
        <v>73</v>
      </c>
      <c r="C5365" s="2">
        <f>HYPERLINK("https://sao.dolgi.msk.ru/account/1404109162/", 1404109162)</f>
        <v>1404109162</v>
      </c>
      <c r="D5365">
        <v>-1869.49</v>
      </c>
    </row>
    <row r="5366" spans="1:4" hidden="1" x14ac:dyDescent="0.25">
      <c r="A5366" t="s">
        <v>664</v>
      </c>
      <c r="B5366" t="s">
        <v>74</v>
      </c>
      <c r="C5366" s="2">
        <f>HYPERLINK("https://sao.dolgi.msk.ru/account/1404111166/", 1404111166)</f>
        <v>1404111166</v>
      </c>
      <c r="D5366">
        <v>-5378.77</v>
      </c>
    </row>
    <row r="5367" spans="1:4" hidden="1" x14ac:dyDescent="0.25">
      <c r="A5367" t="s">
        <v>664</v>
      </c>
      <c r="B5367" t="s">
        <v>75</v>
      </c>
      <c r="C5367" s="2">
        <f>HYPERLINK("https://sao.dolgi.msk.ru/account/1404110841/", 1404110841)</f>
        <v>1404110841</v>
      </c>
      <c r="D5367">
        <v>-7008.04</v>
      </c>
    </row>
    <row r="5368" spans="1:4" hidden="1" x14ac:dyDescent="0.25">
      <c r="A5368" t="s">
        <v>664</v>
      </c>
      <c r="B5368" t="s">
        <v>76</v>
      </c>
      <c r="C5368" s="2">
        <f>HYPERLINK("https://sao.dolgi.msk.ru/account/1404111174/", 1404111174)</f>
        <v>1404111174</v>
      </c>
      <c r="D5368">
        <v>-104531.01</v>
      </c>
    </row>
    <row r="5369" spans="1:4" hidden="1" x14ac:dyDescent="0.25">
      <c r="A5369" t="s">
        <v>664</v>
      </c>
      <c r="B5369" t="s">
        <v>76</v>
      </c>
      <c r="C5369" s="2">
        <f>HYPERLINK("https://sao.dolgi.msk.ru/account/1404111844/", 1404111844)</f>
        <v>1404111844</v>
      </c>
      <c r="D5369">
        <v>-60287.24</v>
      </c>
    </row>
    <row r="5370" spans="1:4" hidden="1" x14ac:dyDescent="0.25">
      <c r="A5370" t="s">
        <v>664</v>
      </c>
      <c r="B5370" t="s">
        <v>77</v>
      </c>
      <c r="C5370" s="2">
        <f>HYPERLINK("https://sao.dolgi.msk.ru/account/1404110382/", 1404110382)</f>
        <v>1404110382</v>
      </c>
      <c r="D5370">
        <v>-556.91999999999996</v>
      </c>
    </row>
    <row r="5371" spans="1:4" hidden="1" x14ac:dyDescent="0.25">
      <c r="A5371" t="s">
        <v>664</v>
      </c>
      <c r="B5371" t="s">
        <v>78</v>
      </c>
      <c r="C5371" s="2">
        <f>HYPERLINK("https://sao.dolgi.msk.ru/account/1404109197/", 1404109197)</f>
        <v>1404109197</v>
      </c>
      <c r="D5371">
        <v>0</v>
      </c>
    </row>
    <row r="5372" spans="1:4" hidden="1" x14ac:dyDescent="0.25">
      <c r="A5372" t="s">
        <v>664</v>
      </c>
      <c r="B5372" t="s">
        <v>79</v>
      </c>
      <c r="C5372" s="2">
        <f>HYPERLINK("https://sao.dolgi.msk.ru/account/1404111182/", 1404111182)</f>
        <v>1404111182</v>
      </c>
      <c r="D5372">
        <v>-711.32</v>
      </c>
    </row>
    <row r="5373" spans="1:4" hidden="1" x14ac:dyDescent="0.25">
      <c r="A5373" t="s">
        <v>664</v>
      </c>
      <c r="B5373" t="s">
        <v>80</v>
      </c>
      <c r="C5373" s="2">
        <f>HYPERLINK("https://sao.dolgi.msk.ru/account/1404110868/", 1404110868)</f>
        <v>1404110868</v>
      </c>
      <c r="D5373">
        <v>-19269.2</v>
      </c>
    </row>
    <row r="5374" spans="1:4" hidden="1" x14ac:dyDescent="0.25">
      <c r="A5374" t="s">
        <v>664</v>
      </c>
      <c r="B5374" t="s">
        <v>81</v>
      </c>
      <c r="C5374" s="2">
        <f>HYPERLINK("https://sao.dolgi.msk.ru/account/1404111203/", 1404111203)</f>
        <v>1404111203</v>
      </c>
      <c r="D5374">
        <v>-3308.74</v>
      </c>
    </row>
    <row r="5375" spans="1:4" x14ac:dyDescent="0.25">
      <c r="A5375" t="s">
        <v>664</v>
      </c>
      <c r="B5375" t="s">
        <v>82</v>
      </c>
      <c r="C5375" s="2">
        <f>HYPERLINK("https://sao.dolgi.msk.ru/account/1404109218/", 1404109218)</f>
        <v>1404109218</v>
      </c>
      <c r="D5375">
        <v>8734.48</v>
      </c>
    </row>
    <row r="5376" spans="1:4" x14ac:dyDescent="0.25">
      <c r="A5376" t="s">
        <v>664</v>
      </c>
      <c r="B5376" t="s">
        <v>83</v>
      </c>
      <c r="C5376" s="2">
        <f>HYPERLINK("https://sao.dolgi.msk.ru/account/1404110876/", 1404110876)</f>
        <v>1404110876</v>
      </c>
      <c r="D5376">
        <v>4592.1400000000003</v>
      </c>
    </row>
    <row r="5377" spans="1:4" hidden="1" x14ac:dyDescent="0.25">
      <c r="A5377" t="s">
        <v>664</v>
      </c>
      <c r="B5377" t="s">
        <v>84</v>
      </c>
      <c r="C5377" s="2">
        <f>HYPERLINK("https://sao.dolgi.msk.ru/account/1404110884/", 1404110884)</f>
        <v>1404110884</v>
      </c>
      <c r="D5377">
        <v>-4381.7700000000004</v>
      </c>
    </row>
    <row r="5378" spans="1:4" x14ac:dyDescent="0.25">
      <c r="A5378" t="s">
        <v>664</v>
      </c>
      <c r="B5378" t="s">
        <v>85</v>
      </c>
      <c r="C5378" s="2">
        <f>HYPERLINK("https://sao.dolgi.msk.ru/account/1404110083/", 1404110083)</f>
        <v>1404110083</v>
      </c>
      <c r="D5378">
        <v>33622.89</v>
      </c>
    </row>
    <row r="5379" spans="1:4" x14ac:dyDescent="0.25">
      <c r="A5379" t="s">
        <v>664</v>
      </c>
      <c r="B5379" t="s">
        <v>86</v>
      </c>
      <c r="C5379" s="2">
        <f>HYPERLINK("https://sao.dolgi.msk.ru/account/1404109728/", 1404109728)</f>
        <v>1404109728</v>
      </c>
      <c r="D5379">
        <v>16195.48</v>
      </c>
    </row>
    <row r="5380" spans="1:4" hidden="1" x14ac:dyDescent="0.25">
      <c r="A5380" t="s">
        <v>664</v>
      </c>
      <c r="B5380" t="s">
        <v>87</v>
      </c>
      <c r="C5380" s="2">
        <f>HYPERLINK("https://sao.dolgi.msk.ru/account/1404110091/", 1404110091)</f>
        <v>1404110091</v>
      </c>
      <c r="D5380">
        <v>-9269.42</v>
      </c>
    </row>
    <row r="5381" spans="1:4" hidden="1" x14ac:dyDescent="0.25">
      <c r="A5381" t="s">
        <v>664</v>
      </c>
      <c r="B5381" t="s">
        <v>88</v>
      </c>
      <c r="C5381" s="2">
        <f>HYPERLINK("https://sao.dolgi.msk.ru/account/1404109226/", 1404109226)</f>
        <v>1404109226</v>
      </c>
      <c r="D5381">
        <v>-6275.97</v>
      </c>
    </row>
    <row r="5382" spans="1:4" hidden="1" x14ac:dyDescent="0.25">
      <c r="A5382" t="s">
        <v>664</v>
      </c>
      <c r="B5382" t="s">
        <v>89</v>
      </c>
      <c r="C5382" s="2">
        <f>HYPERLINK("https://sao.dolgi.msk.ru/account/1404111211/", 1404111211)</f>
        <v>1404111211</v>
      </c>
      <c r="D5382">
        <v>0</v>
      </c>
    </row>
    <row r="5383" spans="1:4" x14ac:dyDescent="0.25">
      <c r="A5383" t="s">
        <v>664</v>
      </c>
      <c r="B5383" t="s">
        <v>90</v>
      </c>
      <c r="C5383" s="2">
        <f>HYPERLINK("https://sao.dolgi.msk.ru/account/1404110403/", 1404110403)</f>
        <v>1404110403</v>
      </c>
      <c r="D5383">
        <v>198366.27</v>
      </c>
    </row>
    <row r="5384" spans="1:4" hidden="1" x14ac:dyDescent="0.25">
      <c r="A5384" t="s">
        <v>664</v>
      </c>
      <c r="B5384" t="s">
        <v>91</v>
      </c>
      <c r="C5384" s="2">
        <f>HYPERLINK("https://sao.dolgi.msk.ru/account/1404110411/", 1404110411)</f>
        <v>1404110411</v>
      </c>
      <c r="D5384">
        <v>-9237.09</v>
      </c>
    </row>
    <row r="5385" spans="1:4" hidden="1" x14ac:dyDescent="0.25">
      <c r="A5385" t="s">
        <v>664</v>
      </c>
      <c r="B5385" t="s">
        <v>92</v>
      </c>
      <c r="C5385" s="2">
        <f>HYPERLINK("https://sao.dolgi.msk.ru/account/1404110104/", 1404110104)</f>
        <v>1404110104</v>
      </c>
      <c r="D5385">
        <v>-3033.33</v>
      </c>
    </row>
    <row r="5386" spans="1:4" hidden="1" x14ac:dyDescent="0.25">
      <c r="A5386" t="s">
        <v>664</v>
      </c>
      <c r="B5386" t="s">
        <v>93</v>
      </c>
      <c r="C5386" s="2">
        <f>HYPERLINK("https://sao.dolgi.msk.ru/account/1404110112/", 1404110112)</f>
        <v>1404110112</v>
      </c>
      <c r="D5386">
        <v>-7049.66</v>
      </c>
    </row>
    <row r="5387" spans="1:4" x14ac:dyDescent="0.25">
      <c r="A5387" t="s">
        <v>664</v>
      </c>
      <c r="B5387" t="s">
        <v>94</v>
      </c>
      <c r="C5387" s="2">
        <f>HYPERLINK("https://sao.dolgi.msk.ru/account/1404109736/", 1404109736)</f>
        <v>1404109736</v>
      </c>
      <c r="D5387">
        <v>239292.67</v>
      </c>
    </row>
    <row r="5388" spans="1:4" hidden="1" x14ac:dyDescent="0.25">
      <c r="A5388" t="s">
        <v>664</v>
      </c>
      <c r="B5388" t="s">
        <v>95</v>
      </c>
      <c r="C5388" s="2">
        <f>HYPERLINK("https://sao.dolgi.msk.ru/account/1404109234/", 1404109234)</f>
        <v>1404109234</v>
      </c>
      <c r="D5388">
        <v>-10064.92</v>
      </c>
    </row>
    <row r="5389" spans="1:4" hidden="1" x14ac:dyDescent="0.25">
      <c r="A5389" t="s">
        <v>664</v>
      </c>
      <c r="B5389" t="s">
        <v>96</v>
      </c>
      <c r="C5389" s="2">
        <f>HYPERLINK("https://sao.dolgi.msk.ru/account/1404111537/", 1404111537)</f>
        <v>1404111537</v>
      </c>
      <c r="D5389">
        <v>0</v>
      </c>
    </row>
    <row r="5390" spans="1:4" hidden="1" x14ac:dyDescent="0.25">
      <c r="A5390" t="s">
        <v>664</v>
      </c>
      <c r="B5390" t="s">
        <v>97</v>
      </c>
      <c r="C5390" s="2">
        <f>HYPERLINK("https://sao.dolgi.msk.ru/account/1404110438/", 1404110438)</f>
        <v>1404110438</v>
      </c>
      <c r="D5390">
        <v>0</v>
      </c>
    </row>
    <row r="5391" spans="1:4" hidden="1" x14ac:dyDescent="0.25">
      <c r="A5391" t="s">
        <v>664</v>
      </c>
      <c r="B5391" t="s">
        <v>98</v>
      </c>
      <c r="C5391" s="2">
        <f>HYPERLINK("https://sao.dolgi.msk.ru/account/1404111238/", 1404111238)</f>
        <v>1404111238</v>
      </c>
      <c r="D5391">
        <v>0</v>
      </c>
    </row>
    <row r="5392" spans="1:4" hidden="1" x14ac:dyDescent="0.25">
      <c r="A5392" t="s">
        <v>664</v>
      </c>
      <c r="B5392" t="s">
        <v>99</v>
      </c>
      <c r="C5392" s="2">
        <f>HYPERLINK("https://sao.dolgi.msk.ru/account/1404110446/", 1404110446)</f>
        <v>1404110446</v>
      </c>
      <c r="D5392">
        <v>0</v>
      </c>
    </row>
    <row r="5393" spans="1:4" hidden="1" x14ac:dyDescent="0.25">
      <c r="A5393" t="s">
        <v>664</v>
      </c>
      <c r="B5393" t="s">
        <v>99</v>
      </c>
      <c r="C5393" s="2">
        <f>HYPERLINK("https://sao.dolgi.msk.ru/account/1404111545/", 1404111545)</f>
        <v>1404111545</v>
      </c>
      <c r="D5393">
        <v>0</v>
      </c>
    </row>
    <row r="5394" spans="1:4" hidden="1" x14ac:dyDescent="0.25">
      <c r="A5394" t="s">
        <v>664</v>
      </c>
      <c r="B5394" t="s">
        <v>100</v>
      </c>
      <c r="C5394" s="2">
        <f>HYPERLINK("https://sao.dolgi.msk.ru/account/1404110139/", 1404110139)</f>
        <v>1404110139</v>
      </c>
      <c r="D5394">
        <v>-5643.7</v>
      </c>
    </row>
    <row r="5395" spans="1:4" hidden="1" x14ac:dyDescent="0.25">
      <c r="A5395" t="s">
        <v>664</v>
      </c>
      <c r="B5395" t="s">
        <v>101</v>
      </c>
      <c r="C5395" s="2">
        <f>HYPERLINK("https://sao.dolgi.msk.ru/account/1404110147/", 1404110147)</f>
        <v>1404110147</v>
      </c>
      <c r="D5395">
        <v>0</v>
      </c>
    </row>
    <row r="5396" spans="1:4" hidden="1" x14ac:dyDescent="0.25">
      <c r="A5396" t="s">
        <v>664</v>
      </c>
      <c r="B5396" t="s">
        <v>102</v>
      </c>
      <c r="C5396" s="2">
        <f>HYPERLINK("https://sao.dolgi.msk.ru/account/1404111836/", 1404111836)</f>
        <v>1404111836</v>
      </c>
      <c r="D5396">
        <v>-7845.04</v>
      </c>
    </row>
    <row r="5397" spans="1:4" hidden="1" x14ac:dyDescent="0.25">
      <c r="A5397" t="s">
        <v>664</v>
      </c>
      <c r="B5397" t="s">
        <v>103</v>
      </c>
      <c r="C5397" s="2">
        <f>HYPERLINK("https://sao.dolgi.msk.ru/account/1404111553/", 1404111553)</f>
        <v>1404111553</v>
      </c>
      <c r="D5397">
        <v>0</v>
      </c>
    </row>
    <row r="5398" spans="1:4" hidden="1" x14ac:dyDescent="0.25">
      <c r="A5398" t="s">
        <v>664</v>
      </c>
      <c r="B5398" t="s">
        <v>104</v>
      </c>
      <c r="C5398" s="2">
        <f>HYPERLINK("https://sao.dolgi.msk.ru/account/1404109445/", 1404109445)</f>
        <v>1404109445</v>
      </c>
      <c r="D5398">
        <v>0</v>
      </c>
    </row>
    <row r="5399" spans="1:4" hidden="1" x14ac:dyDescent="0.25">
      <c r="A5399" t="s">
        <v>664</v>
      </c>
      <c r="B5399" t="s">
        <v>105</v>
      </c>
      <c r="C5399" s="2">
        <f>HYPERLINK("https://sao.dolgi.msk.ru/account/1404109453/", 1404109453)</f>
        <v>1404109453</v>
      </c>
      <c r="D5399">
        <v>-14257.34</v>
      </c>
    </row>
    <row r="5400" spans="1:4" hidden="1" x14ac:dyDescent="0.25">
      <c r="A5400" t="s">
        <v>664</v>
      </c>
      <c r="B5400" t="s">
        <v>106</v>
      </c>
      <c r="C5400" s="2">
        <f>HYPERLINK("https://sao.dolgi.msk.ru/account/1404111078/", 1404111078)</f>
        <v>1404111078</v>
      </c>
      <c r="D5400">
        <v>-5772.58</v>
      </c>
    </row>
    <row r="5401" spans="1:4" hidden="1" x14ac:dyDescent="0.25">
      <c r="A5401" t="s">
        <v>664</v>
      </c>
      <c r="B5401" t="s">
        <v>107</v>
      </c>
      <c r="C5401" s="2">
        <f>HYPERLINK("https://sao.dolgi.msk.ru/account/1404109031/", 1404109031)</f>
        <v>1404109031</v>
      </c>
      <c r="D5401">
        <v>-8052.66</v>
      </c>
    </row>
    <row r="5402" spans="1:4" x14ac:dyDescent="0.25">
      <c r="A5402" t="s">
        <v>664</v>
      </c>
      <c r="B5402" t="s">
        <v>108</v>
      </c>
      <c r="C5402" s="2">
        <f>HYPERLINK("https://sao.dolgi.msk.ru/account/1404109939/", 1404109939)</f>
        <v>1404109939</v>
      </c>
      <c r="D5402">
        <v>17866.95</v>
      </c>
    </row>
    <row r="5403" spans="1:4" hidden="1" x14ac:dyDescent="0.25">
      <c r="A5403" t="s">
        <v>664</v>
      </c>
      <c r="B5403" t="s">
        <v>109</v>
      </c>
      <c r="C5403" s="2">
        <f>HYPERLINK("https://sao.dolgi.msk.ru/account/1404109461/", 1404109461)</f>
        <v>1404109461</v>
      </c>
      <c r="D5403">
        <v>-5904.75</v>
      </c>
    </row>
    <row r="5404" spans="1:4" hidden="1" x14ac:dyDescent="0.25">
      <c r="A5404" t="s">
        <v>664</v>
      </c>
      <c r="B5404" t="s">
        <v>110</v>
      </c>
      <c r="C5404" s="2">
        <f>HYPERLINK("https://sao.dolgi.msk.ru/account/1404111086/", 1404111086)</f>
        <v>1404111086</v>
      </c>
      <c r="D5404">
        <v>-4553.49</v>
      </c>
    </row>
    <row r="5405" spans="1:4" hidden="1" x14ac:dyDescent="0.25">
      <c r="A5405" t="s">
        <v>664</v>
      </c>
      <c r="B5405" t="s">
        <v>111</v>
      </c>
      <c r="C5405" s="2">
        <f>HYPERLINK("https://sao.dolgi.msk.ru/account/1404110649/", 1404110649)</f>
        <v>1404110649</v>
      </c>
      <c r="D5405">
        <v>-3805.79</v>
      </c>
    </row>
    <row r="5406" spans="1:4" hidden="1" x14ac:dyDescent="0.25">
      <c r="A5406" t="s">
        <v>664</v>
      </c>
      <c r="B5406" t="s">
        <v>112</v>
      </c>
      <c r="C5406" s="2">
        <f>HYPERLINK("https://sao.dolgi.msk.ru/account/1404109488/", 1404109488)</f>
        <v>1404109488</v>
      </c>
      <c r="D5406">
        <v>0</v>
      </c>
    </row>
    <row r="5407" spans="1:4" hidden="1" x14ac:dyDescent="0.25">
      <c r="A5407" t="s">
        <v>664</v>
      </c>
      <c r="B5407" t="s">
        <v>113</v>
      </c>
      <c r="C5407" s="2">
        <f>HYPERLINK("https://sao.dolgi.msk.ru/account/1404110657/", 1404110657)</f>
        <v>1404110657</v>
      </c>
      <c r="D5407">
        <v>-3508.73</v>
      </c>
    </row>
    <row r="5408" spans="1:4" x14ac:dyDescent="0.25">
      <c r="A5408" t="s">
        <v>664</v>
      </c>
      <c r="B5408" t="s">
        <v>114</v>
      </c>
      <c r="C5408" s="2">
        <f>HYPERLINK("https://sao.dolgi.msk.ru/account/1404109066/", 1404109066)</f>
        <v>1404109066</v>
      </c>
      <c r="D5408">
        <v>6262.19</v>
      </c>
    </row>
    <row r="5409" spans="1:4" hidden="1" x14ac:dyDescent="0.25">
      <c r="A5409" t="s">
        <v>664</v>
      </c>
      <c r="B5409" t="s">
        <v>115</v>
      </c>
      <c r="C5409" s="2">
        <f>HYPERLINK("https://sao.dolgi.msk.ru/account/1404109496/", 1404109496)</f>
        <v>1404109496</v>
      </c>
      <c r="D5409">
        <v>-6761.91</v>
      </c>
    </row>
    <row r="5410" spans="1:4" x14ac:dyDescent="0.25">
      <c r="A5410" t="s">
        <v>664</v>
      </c>
      <c r="B5410" t="s">
        <v>116</v>
      </c>
      <c r="C5410" s="2">
        <f>HYPERLINK("https://sao.dolgi.msk.ru/account/1404110665/", 1404110665)</f>
        <v>1404110665</v>
      </c>
      <c r="D5410">
        <v>5157.42</v>
      </c>
    </row>
    <row r="5411" spans="1:4" hidden="1" x14ac:dyDescent="0.25">
      <c r="A5411" t="s">
        <v>664</v>
      </c>
      <c r="B5411" t="s">
        <v>117</v>
      </c>
      <c r="C5411" s="2">
        <f>HYPERLINK("https://sao.dolgi.msk.ru/account/1404111393/", 1404111393)</f>
        <v>1404111393</v>
      </c>
      <c r="D5411">
        <v>-5984.58</v>
      </c>
    </row>
    <row r="5412" spans="1:4" hidden="1" x14ac:dyDescent="0.25">
      <c r="A5412" t="s">
        <v>664</v>
      </c>
      <c r="B5412" t="s">
        <v>118</v>
      </c>
      <c r="C5412" s="2">
        <f>HYPERLINK("https://sao.dolgi.msk.ru/account/1404110673/", 1404110673)</f>
        <v>1404110673</v>
      </c>
      <c r="D5412">
        <v>-5975.63</v>
      </c>
    </row>
    <row r="5413" spans="1:4" hidden="1" x14ac:dyDescent="0.25">
      <c r="A5413" t="s">
        <v>664</v>
      </c>
      <c r="B5413" t="s">
        <v>119</v>
      </c>
      <c r="C5413" s="2">
        <f>HYPERLINK("https://sao.dolgi.msk.ru/account/1404110681/", 1404110681)</f>
        <v>1404110681</v>
      </c>
      <c r="D5413">
        <v>-8032.63</v>
      </c>
    </row>
    <row r="5414" spans="1:4" hidden="1" x14ac:dyDescent="0.25">
      <c r="A5414" t="s">
        <v>664</v>
      </c>
      <c r="B5414" t="s">
        <v>120</v>
      </c>
      <c r="C5414" s="2">
        <f>HYPERLINK("https://sao.dolgi.msk.ru/account/1404111094/", 1404111094)</f>
        <v>1404111094</v>
      </c>
      <c r="D5414">
        <v>0</v>
      </c>
    </row>
    <row r="5415" spans="1:4" hidden="1" x14ac:dyDescent="0.25">
      <c r="A5415" t="s">
        <v>664</v>
      </c>
      <c r="B5415" t="s">
        <v>121</v>
      </c>
      <c r="C5415" s="2">
        <f>HYPERLINK("https://sao.dolgi.msk.ru/account/1404109509/", 1404109509)</f>
        <v>1404109509</v>
      </c>
      <c r="D5415">
        <v>-5086.97</v>
      </c>
    </row>
    <row r="5416" spans="1:4" hidden="1" x14ac:dyDescent="0.25">
      <c r="A5416" t="s">
        <v>664</v>
      </c>
      <c r="B5416" t="s">
        <v>122</v>
      </c>
      <c r="C5416" s="2">
        <f>HYPERLINK("https://sao.dolgi.msk.ru/account/1404111748/", 1404111748)</f>
        <v>1404111748</v>
      </c>
      <c r="D5416">
        <v>-5912.88</v>
      </c>
    </row>
    <row r="5417" spans="1:4" hidden="1" x14ac:dyDescent="0.25">
      <c r="A5417" t="s">
        <v>664</v>
      </c>
      <c r="B5417" t="s">
        <v>123</v>
      </c>
      <c r="C5417" s="2">
        <f>HYPERLINK("https://sao.dolgi.msk.ru/account/1404109517/", 1404109517)</f>
        <v>1404109517</v>
      </c>
      <c r="D5417">
        <v>0</v>
      </c>
    </row>
    <row r="5418" spans="1:4" hidden="1" x14ac:dyDescent="0.25">
      <c r="A5418" t="s">
        <v>664</v>
      </c>
      <c r="B5418" t="s">
        <v>124</v>
      </c>
      <c r="C5418" s="2">
        <f>HYPERLINK("https://sao.dolgi.msk.ru/account/1404111414/", 1404111414)</f>
        <v>1404111414</v>
      </c>
      <c r="D5418">
        <v>-4995.62</v>
      </c>
    </row>
    <row r="5419" spans="1:4" hidden="1" x14ac:dyDescent="0.25">
      <c r="A5419" t="s">
        <v>664</v>
      </c>
      <c r="B5419" t="s">
        <v>125</v>
      </c>
      <c r="C5419" s="2">
        <f>HYPERLINK("https://sao.dolgi.msk.ru/account/1404111422/", 1404111422)</f>
        <v>1404111422</v>
      </c>
      <c r="D5419">
        <v>-4569.3599999999997</v>
      </c>
    </row>
    <row r="5420" spans="1:4" hidden="1" x14ac:dyDescent="0.25">
      <c r="A5420" t="s">
        <v>664</v>
      </c>
      <c r="B5420" t="s">
        <v>126</v>
      </c>
      <c r="C5420" s="2">
        <f>HYPERLINK("https://sao.dolgi.msk.ru/account/1404111449/", 1404111449)</f>
        <v>1404111449</v>
      </c>
      <c r="D5420">
        <v>-5014.1099999999997</v>
      </c>
    </row>
    <row r="5421" spans="1:4" hidden="1" x14ac:dyDescent="0.25">
      <c r="A5421" t="s">
        <v>664</v>
      </c>
      <c r="B5421" t="s">
        <v>127</v>
      </c>
      <c r="C5421" s="2">
        <f>HYPERLINK("https://sao.dolgi.msk.ru/account/1404110702/", 1404110702)</f>
        <v>1404110702</v>
      </c>
      <c r="D5421">
        <v>-1558.47</v>
      </c>
    </row>
    <row r="5422" spans="1:4" hidden="1" x14ac:dyDescent="0.25">
      <c r="A5422" t="s">
        <v>664</v>
      </c>
      <c r="B5422" t="s">
        <v>128</v>
      </c>
      <c r="C5422" s="2">
        <f>HYPERLINK("https://sao.dolgi.msk.ru/account/1404109074/", 1404109074)</f>
        <v>1404109074</v>
      </c>
      <c r="D5422">
        <v>-6121.57</v>
      </c>
    </row>
    <row r="5423" spans="1:4" hidden="1" x14ac:dyDescent="0.25">
      <c r="A5423" t="s">
        <v>664</v>
      </c>
      <c r="B5423" t="s">
        <v>129</v>
      </c>
      <c r="C5423" s="2">
        <f>HYPERLINK("https://sao.dolgi.msk.ru/account/1404111107/", 1404111107)</f>
        <v>1404111107</v>
      </c>
      <c r="D5423">
        <v>-5331.75</v>
      </c>
    </row>
    <row r="5424" spans="1:4" x14ac:dyDescent="0.25">
      <c r="A5424" t="s">
        <v>664</v>
      </c>
      <c r="B5424" t="s">
        <v>130</v>
      </c>
      <c r="C5424" s="2">
        <f>HYPERLINK("https://sao.dolgi.msk.ru/account/1404109525/", 1404109525)</f>
        <v>1404109525</v>
      </c>
      <c r="D5424">
        <v>115045.11</v>
      </c>
    </row>
    <row r="5425" spans="1:4" hidden="1" x14ac:dyDescent="0.25">
      <c r="A5425" t="s">
        <v>664</v>
      </c>
      <c r="B5425" t="s">
        <v>131</v>
      </c>
      <c r="C5425" s="2">
        <f>HYPERLINK("https://sao.dolgi.msk.ru/account/1404109533/", 1404109533)</f>
        <v>1404109533</v>
      </c>
      <c r="D5425">
        <v>-1420.56</v>
      </c>
    </row>
    <row r="5426" spans="1:4" x14ac:dyDescent="0.25">
      <c r="A5426" t="s">
        <v>664</v>
      </c>
      <c r="B5426" t="s">
        <v>132</v>
      </c>
      <c r="C5426" s="2">
        <f>HYPERLINK("https://sao.dolgi.msk.ru/account/1404110315/", 1404110315)</f>
        <v>1404110315</v>
      </c>
      <c r="D5426">
        <v>19672.28</v>
      </c>
    </row>
    <row r="5427" spans="1:4" hidden="1" x14ac:dyDescent="0.25">
      <c r="A5427" t="s">
        <v>664</v>
      </c>
      <c r="B5427" t="s">
        <v>133</v>
      </c>
      <c r="C5427" s="2">
        <f>HYPERLINK("https://sao.dolgi.msk.ru/account/1404109277/", 1404109277)</f>
        <v>1404109277</v>
      </c>
      <c r="D5427">
        <v>-3096.56</v>
      </c>
    </row>
    <row r="5428" spans="1:4" x14ac:dyDescent="0.25">
      <c r="A5428" t="s">
        <v>664</v>
      </c>
      <c r="B5428" t="s">
        <v>134</v>
      </c>
      <c r="C5428" s="2">
        <f>HYPERLINK("https://sao.dolgi.msk.ru/account/1404111289/", 1404111289)</f>
        <v>1404111289</v>
      </c>
      <c r="D5428">
        <v>7299.7</v>
      </c>
    </row>
    <row r="5429" spans="1:4" hidden="1" x14ac:dyDescent="0.25">
      <c r="A5429" t="s">
        <v>664</v>
      </c>
      <c r="B5429" t="s">
        <v>135</v>
      </c>
      <c r="C5429" s="2">
        <f>HYPERLINK("https://sao.dolgi.msk.ru/account/1404109285/", 1404109285)</f>
        <v>1404109285</v>
      </c>
      <c r="D5429">
        <v>-8348.51</v>
      </c>
    </row>
    <row r="5430" spans="1:4" hidden="1" x14ac:dyDescent="0.25">
      <c r="A5430" t="s">
        <v>664</v>
      </c>
      <c r="B5430" t="s">
        <v>136</v>
      </c>
      <c r="C5430" s="2">
        <f>HYPERLINK("https://sao.dolgi.msk.ru/account/1404110454/", 1404110454)</f>
        <v>1404110454</v>
      </c>
      <c r="D5430">
        <v>-5219.21</v>
      </c>
    </row>
    <row r="5431" spans="1:4" hidden="1" x14ac:dyDescent="0.25">
      <c r="A5431" t="s">
        <v>664</v>
      </c>
      <c r="B5431" t="s">
        <v>137</v>
      </c>
      <c r="C5431" s="2">
        <f>HYPERLINK("https://sao.dolgi.msk.ru/account/1404109779/", 1404109779)</f>
        <v>1404109779</v>
      </c>
      <c r="D5431">
        <v>-4674.2299999999996</v>
      </c>
    </row>
    <row r="5432" spans="1:4" hidden="1" x14ac:dyDescent="0.25">
      <c r="A5432" t="s">
        <v>664</v>
      </c>
      <c r="B5432" t="s">
        <v>138</v>
      </c>
      <c r="C5432" s="2">
        <f>HYPERLINK("https://sao.dolgi.msk.ru/account/1404110227/", 1404110227)</f>
        <v>1404110227</v>
      </c>
      <c r="D5432">
        <v>-4105.75</v>
      </c>
    </row>
    <row r="5433" spans="1:4" hidden="1" x14ac:dyDescent="0.25">
      <c r="A5433" t="s">
        <v>664</v>
      </c>
      <c r="B5433" t="s">
        <v>139</v>
      </c>
      <c r="C5433" s="2">
        <f>HYPERLINK("https://sao.dolgi.msk.ru/account/1404111262/", 1404111262)</f>
        <v>1404111262</v>
      </c>
      <c r="D5433">
        <v>-17457.509999999998</v>
      </c>
    </row>
    <row r="5434" spans="1:4" hidden="1" x14ac:dyDescent="0.25">
      <c r="A5434" t="s">
        <v>664</v>
      </c>
      <c r="B5434" t="s">
        <v>139</v>
      </c>
      <c r="C5434" s="2">
        <f>HYPERLINK("https://sao.dolgi.msk.ru/account/1404111297/", 1404111297)</f>
        <v>1404111297</v>
      </c>
      <c r="D5434">
        <v>-3141.39</v>
      </c>
    </row>
    <row r="5435" spans="1:4" x14ac:dyDescent="0.25">
      <c r="A5435" t="s">
        <v>664</v>
      </c>
      <c r="B5435" t="s">
        <v>140</v>
      </c>
      <c r="C5435" s="2">
        <f>HYPERLINK("https://sao.dolgi.msk.ru/account/1404111609/", 1404111609)</f>
        <v>1404111609</v>
      </c>
      <c r="D5435">
        <v>338.98</v>
      </c>
    </row>
    <row r="5436" spans="1:4" x14ac:dyDescent="0.25">
      <c r="A5436" t="s">
        <v>664</v>
      </c>
      <c r="B5436" t="s">
        <v>141</v>
      </c>
      <c r="C5436" s="2">
        <f>HYPERLINK("https://sao.dolgi.msk.ru/account/1404110905/", 1404110905)</f>
        <v>1404110905</v>
      </c>
      <c r="D5436">
        <v>16378.29</v>
      </c>
    </row>
    <row r="5437" spans="1:4" hidden="1" x14ac:dyDescent="0.25">
      <c r="A5437" t="s">
        <v>664</v>
      </c>
      <c r="B5437" t="s">
        <v>142</v>
      </c>
      <c r="C5437" s="2">
        <f>HYPERLINK("https://sao.dolgi.msk.ru/account/1404111852/", 1404111852)</f>
        <v>1404111852</v>
      </c>
      <c r="D5437">
        <v>-4080.07</v>
      </c>
    </row>
    <row r="5438" spans="1:4" hidden="1" x14ac:dyDescent="0.25">
      <c r="A5438" t="s">
        <v>664</v>
      </c>
      <c r="B5438" t="s">
        <v>143</v>
      </c>
      <c r="C5438" s="2">
        <f>HYPERLINK("https://sao.dolgi.msk.ru/account/1404109306/", 1404109306)</f>
        <v>1404109306</v>
      </c>
      <c r="D5438">
        <v>-5154.8</v>
      </c>
    </row>
    <row r="5439" spans="1:4" x14ac:dyDescent="0.25">
      <c r="A5439" t="s">
        <v>664</v>
      </c>
      <c r="B5439" t="s">
        <v>144</v>
      </c>
      <c r="C5439" s="2">
        <f>HYPERLINK("https://sao.dolgi.msk.ru/account/1404111617/", 1404111617)</f>
        <v>1404111617</v>
      </c>
      <c r="D5439">
        <v>21064.639999999999</v>
      </c>
    </row>
    <row r="5440" spans="1:4" hidden="1" x14ac:dyDescent="0.25">
      <c r="A5440" t="s">
        <v>664</v>
      </c>
      <c r="B5440" t="s">
        <v>145</v>
      </c>
      <c r="C5440" s="2">
        <f>HYPERLINK("https://sao.dolgi.msk.ru/account/1404109314/", 1404109314)</f>
        <v>1404109314</v>
      </c>
      <c r="D5440">
        <v>-3971.63</v>
      </c>
    </row>
    <row r="5441" spans="1:4" hidden="1" x14ac:dyDescent="0.25">
      <c r="A5441" t="s">
        <v>664</v>
      </c>
      <c r="B5441" t="s">
        <v>146</v>
      </c>
      <c r="C5441" s="2">
        <f>HYPERLINK("https://sao.dolgi.msk.ru/account/1404110462/", 1404110462)</f>
        <v>1404110462</v>
      </c>
      <c r="D5441">
        <v>-6586.08</v>
      </c>
    </row>
    <row r="5442" spans="1:4" hidden="1" x14ac:dyDescent="0.25">
      <c r="A5442" t="s">
        <v>664</v>
      </c>
      <c r="B5442" t="s">
        <v>147</v>
      </c>
      <c r="C5442" s="2">
        <f>HYPERLINK("https://sao.dolgi.msk.ru/account/1404108872/", 1404108872)</f>
        <v>1404108872</v>
      </c>
      <c r="D5442">
        <v>-6500.99</v>
      </c>
    </row>
    <row r="5443" spans="1:4" hidden="1" x14ac:dyDescent="0.25">
      <c r="A5443" t="s">
        <v>664</v>
      </c>
      <c r="B5443" t="s">
        <v>148</v>
      </c>
      <c r="C5443" s="2">
        <f>HYPERLINK("https://sao.dolgi.msk.ru/account/1404109787/", 1404109787)</f>
        <v>1404109787</v>
      </c>
      <c r="D5443">
        <v>-204</v>
      </c>
    </row>
    <row r="5444" spans="1:4" hidden="1" x14ac:dyDescent="0.25">
      <c r="A5444" t="s">
        <v>664</v>
      </c>
      <c r="B5444" t="s">
        <v>148</v>
      </c>
      <c r="C5444" s="2">
        <f>HYPERLINK("https://sao.dolgi.msk.ru/account/1404111879/", 1404111879)</f>
        <v>1404111879</v>
      </c>
      <c r="D5444">
        <v>0</v>
      </c>
    </row>
    <row r="5445" spans="1:4" x14ac:dyDescent="0.25">
      <c r="A5445" t="s">
        <v>664</v>
      </c>
      <c r="B5445" t="s">
        <v>149</v>
      </c>
      <c r="C5445" s="2">
        <f>HYPERLINK("https://sao.dolgi.msk.ru/account/1404111318/", 1404111318)</f>
        <v>1404111318</v>
      </c>
      <c r="D5445">
        <v>3650.22</v>
      </c>
    </row>
    <row r="5446" spans="1:4" hidden="1" x14ac:dyDescent="0.25">
      <c r="A5446" t="s">
        <v>664</v>
      </c>
      <c r="B5446" t="s">
        <v>150</v>
      </c>
      <c r="C5446" s="2">
        <f>HYPERLINK("https://sao.dolgi.msk.ru/account/1404109795/", 1404109795)</f>
        <v>1404109795</v>
      </c>
      <c r="D5446">
        <v>-6865.7</v>
      </c>
    </row>
    <row r="5447" spans="1:4" hidden="1" x14ac:dyDescent="0.25">
      <c r="A5447" t="s">
        <v>664</v>
      </c>
      <c r="B5447" t="s">
        <v>151</v>
      </c>
      <c r="C5447" s="2">
        <f>HYPERLINK("https://sao.dolgi.msk.ru/account/1404110913/", 1404110913)</f>
        <v>1404110913</v>
      </c>
      <c r="D5447">
        <v>-5198.21</v>
      </c>
    </row>
    <row r="5448" spans="1:4" hidden="1" x14ac:dyDescent="0.25">
      <c r="A5448" t="s">
        <v>664</v>
      </c>
      <c r="B5448" t="s">
        <v>152</v>
      </c>
      <c r="C5448" s="2">
        <f>HYPERLINK("https://sao.dolgi.msk.ru/account/1404110489/", 1404110489)</f>
        <v>1404110489</v>
      </c>
      <c r="D5448">
        <v>-11.43</v>
      </c>
    </row>
    <row r="5449" spans="1:4" hidden="1" x14ac:dyDescent="0.25">
      <c r="A5449" t="s">
        <v>664</v>
      </c>
      <c r="B5449" t="s">
        <v>153</v>
      </c>
      <c r="C5449" s="2">
        <f>HYPERLINK("https://sao.dolgi.msk.ru/account/1404109808/", 1404109808)</f>
        <v>1404109808</v>
      </c>
      <c r="D5449">
        <v>-8394.24</v>
      </c>
    </row>
    <row r="5450" spans="1:4" hidden="1" x14ac:dyDescent="0.25">
      <c r="A5450" t="s">
        <v>664</v>
      </c>
      <c r="B5450" t="s">
        <v>154</v>
      </c>
      <c r="C5450" s="2">
        <f>HYPERLINK("https://sao.dolgi.msk.ru/account/1404111625/", 1404111625)</f>
        <v>1404111625</v>
      </c>
      <c r="D5450">
        <v>-5510.11</v>
      </c>
    </row>
    <row r="5451" spans="1:4" hidden="1" x14ac:dyDescent="0.25">
      <c r="A5451" t="s">
        <v>664</v>
      </c>
      <c r="B5451" t="s">
        <v>155</v>
      </c>
      <c r="C5451" s="2">
        <f>HYPERLINK("https://sao.dolgi.msk.ru/account/1404109816/", 1404109816)</f>
        <v>1404109816</v>
      </c>
      <c r="D5451">
        <v>-286.89</v>
      </c>
    </row>
    <row r="5452" spans="1:4" x14ac:dyDescent="0.25">
      <c r="A5452" t="s">
        <v>664</v>
      </c>
      <c r="B5452" t="s">
        <v>156</v>
      </c>
      <c r="C5452" s="2">
        <f>HYPERLINK("https://sao.dolgi.msk.ru/account/1404111326/", 1404111326)</f>
        <v>1404111326</v>
      </c>
      <c r="D5452">
        <v>10633.54</v>
      </c>
    </row>
    <row r="5453" spans="1:4" hidden="1" x14ac:dyDescent="0.25">
      <c r="A5453" t="s">
        <v>664</v>
      </c>
      <c r="B5453" t="s">
        <v>157</v>
      </c>
      <c r="C5453" s="2">
        <f>HYPERLINK("https://sao.dolgi.msk.ru/account/1404110235/", 1404110235)</f>
        <v>1404110235</v>
      </c>
      <c r="D5453">
        <v>-4745.99</v>
      </c>
    </row>
    <row r="5454" spans="1:4" hidden="1" x14ac:dyDescent="0.25">
      <c r="A5454" t="s">
        <v>664</v>
      </c>
      <c r="B5454" t="s">
        <v>158</v>
      </c>
      <c r="C5454" s="2">
        <f>HYPERLINK("https://sao.dolgi.msk.ru/account/1404109322/", 1404109322)</f>
        <v>1404109322</v>
      </c>
      <c r="D5454">
        <v>0</v>
      </c>
    </row>
    <row r="5455" spans="1:4" hidden="1" x14ac:dyDescent="0.25">
      <c r="A5455" t="s">
        <v>664</v>
      </c>
      <c r="B5455" t="s">
        <v>159</v>
      </c>
      <c r="C5455" s="2">
        <f>HYPERLINK("https://sao.dolgi.msk.ru/account/1404110921/", 1404110921)</f>
        <v>1404110921</v>
      </c>
      <c r="D5455">
        <v>-284.27999999999997</v>
      </c>
    </row>
    <row r="5456" spans="1:4" hidden="1" x14ac:dyDescent="0.25">
      <c r="A5456" t="s">
        <v>664</v>
      </c>
      <c r="B5456" t="s">
        <v>160</v>
      </c>
      <c r="C5456" s="2">
        <f>HYPERLINK("https://sao.dolgi.msk.ru/account/1404111633/", 1404111633)</f>
        <v>1404111633</v>
      </c>
      <c r="D5456">
        <v>0</v>
      </c>
    </row>
    <row r="5457" spans="1:4" hidden="1" x14ac:dyDescent="0.25">
      <c r="A5457" t="s">
        <v>664</v>
      </c>
      <c r="B5457" t="s">
        <v>161</v>
      </c>
      <c r="C5457" s="2">
        <f>HYPERLINK("https://sao.dolgi.msk.ru/account/1404111641/", 1404111641)</f>
        <v>1404111641</v>
      </c>
      <c r="D5457">
        <v>0</v>
      </c>
    </row>
    <row r="5458" spans="1:4" hidden="1" x14ac:dyDescent="0.25">
      <c r="A5458" t="s">
        <v>664</v>
      </c>
      <c r="B5458" t="s">
        <v>162</v>
      </c>
      <c r="C5458" s="2">
        <f>HYPERLINK("https://sao.dolgi.msk.ru/account/1404110243/", 1404110243)</f>
        <v>1404110243</v>
      </c>
      <c r="D5458">
        <v>-260.32</v>
      </c>
    </row>
    <row r="5459" spans="1:4" hidden="1" x14ac:dyDescent="0.25">
      <c r="A5459" t="s">
        <v>664</v>
      </c>
      <c r="B5459" t="s">
        <v>163</v>
      </c>
      <c r="C5459" s="2">
        <f>HYPERLINK("https://sao.dolgi.msk.ru/account/1404109824/", 1404109824)</f>
        <v>1404109824</v>
      </c>
      <c r="D5459">
        <v>0</v>
      </c>
    </row>
    <row r="5460" spans="1:4" hidden="1" x14ac:dyDescent="0.25">
      <c r="A5460" t="s">
        <v>664</v>
      </c>
      <c r="B5460" t="s">
        <v>164</v>
      </c>
      <c r="C5460" s="2">
        <f>HYPERLINK("https://sao.dolgi.msk.ru/account/1404110497/", 1404110497)</f>
        <v>1404110497</v>
      </c>
      <c r="D5460">
        <v>-4732.8</v>
      </c>
    </row>
    <row r="5461" spans="1:4" hidden="1" x14ac:dyDescent="0.25">
      <c r="A5461" t="s">
        <v>664</v>
      </c>
      <c r="B5461" t="s">
        <v>165</v>
      </c>
      <c r="C5461" s="2">
        <f>HYPERLINK("https://sao.dolgi.msk.ru/account/1404110251/", 1404110251)</f>
        <v>1404110251</v>
      </c>
      <c r="D5461">
        <v>-3658.82</v>
      </c>
    </row>
    <row r="5462" spans="1:4" hidden="1" x14ac:dyDescent="0.25">
      <c r="A5462" t="s">
        <v>664</v>
      </c>
      <c r="B5462" t="s">
        <v>166</v>
      </c>
      <c r="C5462" s="2">
        <f>HYPERLINK("https://sao.dolgi.msk.ru/account/1404109832/", 1404109832)</f>
        <v>1404109832</v>
      </c>
      <c r="D5462">
        <v>0</v>
      </c>
    </row>
    <row r="5463" spans="1:4" hidden="1" x14ac:dyDescent="0.25">
      <c r="A5463" t="s">
        <v>664</v>
      </c>
      <c r="B5463" t="s">
        <v>167</v>
      </c>
      <c r="C5463" s="2">
        <f>HYPERLINK("https://sao.dolgi.msk.ru/account/1404108899/", 1404108899)</f>
        <v>1404108899</v>
      </c>
      <c r="D5463">
        <v>-484.76</v>
      </c>
    </row>
    <row r="5464" spans="1:4" hidden="1" x14ac:dyDescent="0.25">
      <c r="A5464" t="s">
        <v>664</v>
      </c>
      <c r="B5464" t="s">
        <v>168</v>
      </c>
      <c r="C5464" s="2">
        <f>HYPERLINK("https://sao.dolgi.msk.ru/account/1404109859/", 1404109859)</f>
        <v>1404109859</v>
      </c>
      <c r="D5464">
        <v>-154.91999999999999</v>
      </c>
    </row>
    <row r="5465" spans="1:4" hidden="1" x14ac:dyDescent="0.25">
      <c r="A5465" t="s">
        <v>664</v>
      </c>
      <c r="B5465" t="s">
        <v>168</v>
      </c>
      <c r="C5465" s="2">
        <f>HYPERLINK("https://sao.dolgi.msk.ru/account/1404110171/", 1404110171)</f>
        <v>1404110171</v>
      </c>
      <c r="D5465">
        <v>0</v>
      </c>
    </row>
    <row r="5466" spans="1:4" hidden="1" x14ac:dyDescent="0.25">
      <c r="A5466" t="s">
        <v>664</v>
      </c>
      <c r="B5466" t="s">
        <v>169</v>
      </c>
      <c r="C5466" s="2">
        <f>HYPERLINK("https://sao.dolgi.msk.ru/account/1404110518/", 1404110518)</f>
        <v>1404110518</v>
      </c>
      <c r="D5466">
        <v>-3288.94</v>
      </c>
    </row>
    <row r="5467" spans="1:4" x14ac:dyDescent="0.25">
      <c r="A5467" t="s">
        <v>664</v>
      </c>
      <c r="B5467" t="s">
        <v>170</v>
      </c>
      <c r="C5467" s="2">
        <f>HYPERLINK("https://sao.dolgi.msk.ru/account/1404108901/", 1404108901)</f>
        <v>1404108901</v>
      </c>
      <c r="D5467">
        <v>37718.089999999997</v>
      </c>
    </row>
    <row r="5468" spans="1:4" hidden="1" x14ac:dyDescent="0.25">
      <c r="A5468" t="s">
        <v>664</v>
      </c>
      <c r="B5468" t="s">
        <v>171</v>
      </c>
      <c r="C5468" s="2">
        <f>HYPERLINK("https://sao.dolgi.msk.ru/account/1404111668/", 1404111668)</f>
        <v>1404111668</v>
      </c>
      <c r="D5468">
        <v>-7165.34</v>
      </c>
    </row>
    <row r="5469" spans="1:4" hidden="1" x14ac:dyDescent="0.25">
      <c r="A5469" t="s">
        <v>664</v>
      </c>
      <c r="B5469" t="s">
        <v>172</v>
      </c>
      <c r="C5469" s="2">
        <f>HYPERLINK("https://sao.dolgi.msk.ru/account/1404110948/", 1404110948)</f>
        <v>1404110948</v>
      </c>
      <c r="D5469">
        <v>-4006.01</v>
      </c>
    </row>
    <row r="5470" spans="1:4" hidden="1" x14ac:dyDescent="0.25">
      <c r="A5470" t="s">
        <v>664</v>
      </c>
      <c r="B5470" t="s">
        <v>173</v>
      </c>
      <c r="C5470" s="2">
        <f>HYPERLINK("https://sao.dolgi.msk.ru/account/1404111676/", 1404111676)</f>
        <v>1404111676</v>
      </c>
      <c r="D5470">
        <v>0</v>
      </c>
    </row>
    <row r="5471" spans="1:4" hidden="1" x14ac:dyDescent="0.25">
      <c r="A5471" t="s">
        <v>664</v>
      </c>
      <c r="B5471" t="s">
        <v>174</v>
      </c>
      <c r="C5471" s="2">
        <f>HYPERLINK("https://sao.dolgi.msk.ru/account/1404108928/", 1404108928)</f>
        <v>1404108928</v>
      </c>
      <c r="D5471">
        <v>-5686.44</v>
      </c>
    </row>
    <row r="5472" spans="1:4" hidden="1" x14ac:dyDescent="0.25">
      <c r="A5472" t="s">
        <v>664</v>
      </c>
      <c r="B5472" t="s">
        <v>175</v>
      </c>
      <c r="C5472" s="2">
        <f>HYPERLINK("https://sao.dolgi.msk.ru/account/1404109349/", 1404109349)</f>
        <v>1404109349</v>
      </c>
      <c r="D5472">
        <v>-4489.55</v>
      </c>
    </row>
    <row r="5473" spans="1:4" hidden="1" x14ac:dyDescent="0.25">
      <c r="A5473" t="s">
        <v>664</v>
      </c>
      <c r="B5473" t="s">
        <v>176</v>
      </c>
      <c r="C5473" s="2">
        <f>HYPERLINK("https://sao.dolgi.msk.ru/account/1404110526/", 1404110526)</f>
        <v>1404110526</v>
      </c>
      <c r="D5473">
        <v>-1878.59</v>
      </c>
    </row>
    <row r="5474" spans="1:4" hidden="1" x14ac:dyDescent="0.25">
      <c r="A5474" t="s">
        <v>664</v>
      </c>
      <c r="B5474" t="s">
        <v>177</v>
      </c>
      <c r="C5474" s="2">
        <f>HYPERLINK("https://sao.dolgi.msk.ru/account/1404108936/", 1404108936)</f>
        <v>1404108936</v>
      </c>
      <c r="D5474">
        <v>0</v>
      </c>
    </row>
    <row r="5475" spans="1:4" hidden="1" x14ac:dyDescent="0.25">
      <c r="A5475" t="s">
        <v>664</v>
      </c>
      <c r="B5475" t="s">
        <v>178</v>
      </c>
      <c r="C5475" s="2">
        <f>HYPERLINK("https://sao.dolgi.msk.ru/account/1404110534/", 1404110534)</f>
        <v>1404110534</v>
      </c>
      <c r="D5475">
        <v>-6132.67</v>
      </c>
    </row>
    <row r="5476" spans="1:4" hidden="1" x14ac:dyDescent="0.25">
      <c r="A5476" t="s">
        <v>664</v>
      </c>
      <c r="B5476" t="s">
        <v>179</v>
      </c>
      <c r="C5476" s="2">
        <f>HYPERLINK("https://sao.dolgi.msk.ru/account/1404109357/", 1404109357)</f>
        <v>1404109357</v>
      </c>
      <c r="D5476">
        <v>-349.69</v>
      </c>
    </row>
    <row r="5477" spans="1:4" hidden="1" x14ac:dyDescent="0.25">
      <c r="A5477" t="s">
        <v>664</v>
      </c>
      <c r="B5477" t="s">
        <v>180</v>
      </c>
      <c r="C5477" s="2">
        <f>HYPERLINK("https://sao.dolgi.msk.ru/account/1404110278/", 1404110278)</f>
        <v>1404110278</v>
      </c>
      <c r="D5477">
        <v>-8231.74</v>
      </c>
    </row>
    <row r="5478" spans="1:4" hidden="1" x14ac:dyDescent="0.25">
      <c r="A5478" t="s">
        <v>664</v>
      </c>
      <c r="B5478" t="s">
        <v>181</v>
      </c>
      <c r="C5478" s="2">
        <f>HYPERLINK("https://sao.dolgi.msk.ru/account/1404110286/", 1404110286)</f>
        <v>1404110286</v>
      </c>
      <c r="D5478">
        <v>-3139.02</v>
      </c>
    </row>
    <row r="5479" spans="1:4" hidden="1" x14ac:dyDescent="0.25">
      <c r="A5479" t="s">
        <v>664</v>
      </c>
      <c r="B5479" t="s">
        <v>182</v>
      </c>
      <c r="C5479" s="2">
        <f>HYPERLINK("https://sao.dolgi.msk.ru/account/1404108944/", 1404108944)</f>
        <v>1404108944</v>
      </c>
      <c r="D5479">
        <v>-8830.0499999999993</v>
      </c>
    </row>
    <row r="5480" spans="1:4" hidden="1" x14ac:dyDescent="0.25">
      <c r="A5480" t="s">
        <v>664</v>
      </c>
      <c r="B5480" t="s">
        <v>183</v>
      </c>
      <c r="C5480" s="2">
        <f>HYPERLINK("https://sao.dolgi.msk.ru/account/1404110542/", 1404110542)</f>
        <v>1404110542</v>
      </c>
      <c r="D5480">
        <v>-9297.2099999999991</v>
      </c>
    </row>
    <row r="5481" spans="1:4" hidden="1" x14ac:dyDescent="0.25">
      <c r="A5481" t="s">
        <v>664</v>
      </c>
      <c r="B5481" t="s">
        <v>184</v>
      </c>
      <c r="C5481" s="2">
        <f>HYPERLINK("https://sao.dolgi.msk.ru/account/1404109867/", 1404109867)</f>
        <v>1404109867</v>
      </c>
      <c r="D5481">
        <v>-7352.65</v>
      </c>
    </row>
    <row r="5482" spans="1:4" hidden="1" x14ac:dyDescent="0.25">
      <c r="A5482" t="s">
        <v>664</v>
      </c>
      <c r="B5482" t="s">
        <v>185</v>
      </c>
      <c r="C5482" s="2">
        <f>HYPERLINK("https://sao.dolgi.msk.ru/account/1404111334/", 1404111334)</f>
        <v>1404111334</v>
      </c>
      <c r="D5482">
        <v>-3656.8</v>
      </c>
    </row>
    <row r="5483" spans="1:4" hidden="1" x14ac:dyDescent="0.25">
      <c r="A5483" t="s">
        <v>664</v>
      </c>
      <c r="B5483" t="s">
        <v>186</v>
      </c>
      <c r="C5483" s="2">
        <f>HYPERLINK("https://sao.dolgi.msk.ru/account/1404109365/", 1404109365)</f>
        <v>1404109365</v>
      </c>
      <c r="D5483">
        <v>-6511.69</v>
      </c>
    </row>
    <row r="5484" spans="1:4" hidden="1" x14ac:dyDescent="0.25">
      <c r="A5484" t="s">
        <v>664</v>
      </c>
      <c r="B5484" t="s">
        <v>187</v>
      </c>
      <c r="C5484" s="2">
        <f>HYPERLINK("https://sao.dolgi.msk.ru/account/1404110569/", 1404110569)</f>
        <v>1404110569</v>
      </c>
      <c r="D5484">
        <v>-2295.06</v>
      </c>
    </row>
    <row r="5485" spans="1:4" hidden="1" x14ac:dyDescent="0.25">
      <c r="A5485" t="s">
        <v>664</v>
      </c>
      <c r="B5485" t="s">
        <v>187</v>
      </c>
      <c r="C5485" s="2">
        <f>HYPERLINK("https://sao.dolgi.msk.ru/account/1404111596/", 1404111596)</f>
        <v>1404111596</v>
      </c>
      <c r="D5485">
        <v>-4996.3900000000003</v>
      </c>
    </row>
    <row r="5486" spans="1:4" hidden="1" x14ac:dyDescent="0.25">
      <c r="A5486" t="s">
        <v>664</v>
      </c>
      <c r="B5486" t="s">
        <v>188</v>
      </c>
      <c r="C5486" s="2">
        <f>HYPERLINK("https://sao.dolgi.msk.ru/account/1404109875/", 1404109875)</f>
        <v>1404109875</v>
      </c>
      <c r="D5486">
        <v>-3840.95</v>
      </c>
    </row>
    <row r="5487" spans="1:4" hidden="1" x14ac:dyDescent="0.25">
      <c r="A5487" t="s">
        <v>664</v>
      </c>
      <c r="B5487" t="s">
        <v>189</v>
      </c>
      <c r="C5487" s="2">
        <f>HYPERLINK("https://sao.dolgi.msk.ru/account/1404111342/", 1404111342)</f>
        <v>1404111342</v>
      </c>
      <c r="D5487">
        <v>-7009.07</v>
      </c>
    </row>
    <row r="5488" spans="1:4" x14ac:dyDescent="0.25">
      <c r="A5488" t="s">
        <v>664</v>
      </c>
      <c r="B5488" t="s">
        <v>190</v>
      </c>
      <c r="C5488" s="2">
        <f>HYPERLINK("https://sao.dolgi.msk.ru/account/1404109883/", 1404109883)</f>
        <v>1404109883</v>
      </c>
      <c r="D5488">
        <v>7965.48</v>
      </c>
    </row>
    <row r="5489" spans="1:4" hidden="1" x14ac:dyDescent="0.25">
      <c r="A5489" t="s">
        <v>664</v>
      </c>
      <c r="B5489" t="s">
        <v>191</v>
      </c>
      <c r="C5489" s="2">
        <f>HYPERLINK("https://sao.dolgi.msk.ru/account/1404109752/", 1404109752)</f>
        <v>1404109752</v>
      </c>
      <c r="D5489">
        <v>-3549.26</v>
      </c>
    </row>
    <row r="5490" spans="1:4" hidden="1" x14ac:dyDescent="0.25">
      <c r="A5490" t="s">
        <v>664</v>
      </c>
      <c r="B5490" t="s">
        <v>191</v>
      </c>
      <c r="C5490" s="2">
        <f>HYPERLINK("https://sao.dolgi.msk.ru/account/1404110577/", 1404110577)</f>
        <v>1404110577</v>
      </c>
      <c r="D5490">
        <v>-262.26</v>
      </c>
    </row>
    <row r="5491" spans="1:4" hidden="1" x14ac:dyDescent="0.25">
      <c r="A5491" t="s">
        <v>664</v>
      </c>
      <c r="B5491" t="s">
        <v>192</v>
      </c>
      <c r="C5491" s="2">
        <f>HYPERLINK("https://sao.dolgi.msk.ru/account/1404108952/", 1404108952)</f>
        <v>1404108952</v>
      </c>
      <c r="D5491">
        <v>-2685.42</v>
      </c>
    </row>
    <row r="5492" spans="1:4" hidden="1" x14ac:dyDescent="0.25">
      <c r="A5492" t="s">
        <v>664</v>
      </c>
      <c r="B5492" t="s">
        <v>193</v>
      </c>
      <c r="C5492" s="2">
        <f>HYPERLINK("https://sao.dolgi.msk.ru/account/1404110956/", 1404110956)</f>
        <v>1404110956</v>
      </c>
      <c r="D5492">
        <v>0</v>
      </c>
    </row>
    <row r="5493" spans="1:4" x14ac:dyDescent="0.25">
      <c r="A5493" t="s">
        <v>664</v>
      </c>
      <c r="B5493" t="s">
        <v>194</v>
      </c>
      <c r="C5493" s="2">
        <f>HYPERLINK("https://sao.dolgi.msk.ru/account/1404109891/", 1404109891)</f>
        <v>1404109891</v>
      </c>
      <c r="D5493">
        <v>2158.98</v>
      </c>
    </row>
    <row r="5494" spans="1:4" hidden="1" x14ac:dyDescent="0.25">
      <c r="A5494" t="s">
        <v>664</v>
      </c>
      <c r="B5494" t="s">
        <v>195</v>
      </c>
      <c r="C5494" s="2">
        <f>HYPERLINK("https://sao.dolgi.msk.ru/account/1404110964/", 1404110964)</f>
        <v>1404110964</v>
      </c>
      <c r="D5494">
        <v>-350.32</v>
      </c>
    </row>
    <row r="5495" spans="1:4" hidden="1" x14ac:dyDescent="0.25">
      <c r="A5495" t="s">
        <v>664</v>
      </c>
      <c r="B5495" t="s">
        <v>196</v>
      </c>
      <c r="C5495" s="2">
        <f>HYPERLINK("https://sao.dolgi.msk.ru/account/1404110585/", 1404110585)</f>
        <v>1404110585</v>
      </c>
      <c r="D5495">
        <v>-5355.19</v>
      </c>
    </row>
    <row r="5496" spans="1:4" hidden="1" x14ac:dyDescent="0.25">
      <c r="A5496" t="s">
        <v>664</v>
      </c>
      <c r="B5496" t="s">
        <v>197</v>
      </c>
      <c r="C5496" s="2">
        <f>HYPERLINK("https://sao.dolgi.msk.ru/account/1404111684/", 1404111684)</f>
        <v>1404111684</v>
      </c>
      <c r="D5496">
        <v>-8293.9599999999991</v>
      </c>
    </row>
    <row r="5497" spans="1:4" x14ac:dyDescent="0.25">
      <c r="A5497" t="s">
        <v>664</v>
      </c>
      <c r="B5497" t="s">
        <v>198</v>
      </c>
      <c r="C5497" s="2">
        <f>HYPERLINK("https://sao.dolgi.msk.ru/account/1404109373/", 1404109373)</f>
        <v>1404109373</v>
      </c>
      <c r="D5497">
        <v>2921.2</v>
      </c>
    </row>
    <row r="5498" spans="1:4" hidden="1" x14ac:dyDescent="0.25">
      <c r="A5498" t="s">
        <v>664</v>
      </c>
      <c r="B5498" t="s">
        <v>199</v>
      </c>
      <c r="C5498" s="2">
        <f>HYPERLINK("https://sao.dolgi.msk.ru/account/1404108979/", 1404108979)</f>
        <v>1404108979</v>
      </c>
      <c r="D5498">
        <v>-489.56</v>
      </c>
    </row>
    <row r="5499" spans="1:4" hidden="1" x14ac:dyDescent="0.25">
      <c r="A5499" t="s">
        <v>664</v>
      </c>
      <c r="B5499" t="s">
        <v>200</v>
      </c>
      <c r="C5499" s="2">
        <f>HYPERLINK("https://sao.dolgi.msk.ru/account/1404110972/", 1404110972)</f>
        <v>1404110972</v>
      </c>
      <c r="D5499">
        <v>-4119.58</v>
      </c>
    </row>
    <row r="5500" spans="1:4" hidden="1" x14ac:dyDescent="0.25">
      <c r="A5500" t="s">
        <v>664</v>
      </c>
      <c r="B5500" t="s">
        <v>201</v>
      </c>
      <c r="C5500" s="2">
        <f>HYPERLINK("https://sao.dolgi.msk.ru/account/1404108987/", 1404108987)</f>
        <v>1404108987</v>
      </c>
      <c r="D5500">
        <v>-11090.18</v>
      </c>
    </row>
    <row r="5501" spans="1:4" hidden="1" x14ac:dyDescent="0.25">
      <c r="A5501" t="s">
        <v>664</v>
      </c>
      <c r="B5501" t="s">
        <v>202</v>
      </c>
      <c r="C5501" s="2">
        <f>HYPERLINK("https://sao.dolgi.msk.ru/account/1404110593/", 1404110593)</f>
        <v>1404110593</v>
      </c>
      <c r="D5501">
        <v>-6692.48</v>
      </c>
    </row>
    <row r="5502" spans="1:4" x14ac:dyDescent="0.25">
      <c r="A5502" t="s">
        <v>664</v>
      </c>
      <c r="B5502" t="s">
        <v>203</v>
      </c>
      <c r="C5502" s="2">
        <f>HYPERLINK("https://sao.dolgi.msk.ru/account/1404108995/", 1404108995)</f>
        <v>1404108995</v>
      </c>
      <c r="D5502">
        <v>5678.93</v>
      </c>
    </row>
    <row r="5503" spans="1:4" hidden="1" x14ac:dyDescent="0.25">
      <c r="A5503" t="s">
        <v>664</v>
      </c>
      <c r="B5503" t="s">
        <v>204</v>
      </c>
      <c r="C5503" s="2">
        <f>HYPERLINK("https://sao.dolgi.msk.ru/account/1404109904/", 1404109904)</f>
        <v>1404109904</v>
      </c>
      <c r="D5503">
        <v>-4756.41</v>
      </c>
    </row>
    <row r="5504" spans="1:4" hidden="1" x14ac:dyDescent="0.25">
      <c r="A5504" t="s">
        <v>664</v>
      </c>
      <c r="B5504" t="s">
        <v>205</v>
      </c>
      <c r="C5504" s="2">
        <f>HYPERLINK("https://sao.dolgi.msk.ru/account/1404110606/", 1404110606)</f>
        <v>1404110606</v>
      </c>
      <c r="D5504">
        <v>-6855.18</v>
      </c>
    </row>
    <row r="5505" spans="1:4" hidden="1" x14ac:dyDescent="0.25">
      <c r="A5505" t="s">
        <v>664</v>
      </c>
      <c r="B5505" t="s">
        <v>206</v>
      </c>
      <c r="C5505" s="2">
        <f>HYPERLINK("https://sao.dolgi.msk.ru/account/1404110999/", 1404110999)</f>
        <v>1404110999</v>
      </c>
      <c r="D5505">
        <v>0</v>
      </c>
    </row>
    <row r="5506" spans="1:4" x14ac:dyDescent="0.25">
      <c r="A5506" t="s">
        <v>664</v>
      </c>
      <c r="B5506" t="s">
        <v>207</v>
      </c>
      <c r="C5506" s="2">
        <f>HYPERLINK("https://sao.dolgi.msk.ru/account/1404110163/", 1404110163)</f>
        <v>1404110163</v>
      </c>
      <c r="D5506">
        <v>139.02000000000001</v>
      </c>
    </row>
    <row r="5507" spans="1:4" hidden="1" x14ac:dyDescent="0.25">
      <c r="A5507" t="s">
        <v>664</v>
      </c>
      <c r="B5507" t="s">
        <v>208</v>
      </c>
      <c r="C5507" s="2">
        <f>HYPERLINK("https://sao.dolgi.msk.ru/account/1404109242/", 1404109242)</f>
        <v>1404109242</v>
      </c>
      <c r="D5507">
        <v>-2524.5100000000002</v>
      </c>
    </row>
    <row r="5508" spans="1:4" hidden="1" x14ac:dyDescent="0.25">
      <c r="A5508" t="s">
        <v>664</v>
      </c>
      <c r="B5508" t="s">
        <v>208</v>
      </c>
      <c r="C5508" s="2">
        <f>HYPERLINK("https://sao.dolgi.msk.ru/account/1404109381/", 1404109381)</f>
        <v>1404109381</v>
      </c>
      <c r="D5508">
        <v>-217.6</v>
      </c>
    </row>
    <row r="5509" spans="1:4" hidden="1" x14ac:dyDescent="0.25">
      <c r="A5509" t="s">
        <v>664</v>
      </c>
      <c r="B5509" t="s">
        <v>209</v>
      </c>
      <c r="C5509" s="2">
        <f>HYPERLINK("https://sao.dolgi.msk.ru/account/1404110614/", 1404110614)</f>
        <v>1404110614</v>
      </c>
      <c r="D5509">
        <v>0</v>
      </c>
    </row>
    <row r="5510" spans="1:4" hidden="1" x14ac:dyDescent="0.25">
      <c r="A5510" t="s">
        <v>664</v>
      </c>
      <c r="B5510" t="s">
        <v>210</v>
      </c>
      <c r="C5510" s="2">
        <f>HYPERLINK("https://sao.dolgi.msk.ru/account/1404111692/", 1404111692)</f>
        <v>1404111692</v>
      </c>
      <c r="D5510">
        <v>-5411.13</v>
      </c>
    </row>
    <row r="5511" spans="1:4" hidden="1" x14ac:dyDescent="0.25">
      <c r="A5511" t="s">
        <v>664</v>
      </c>
      <c r="B5511" t="s">
        <v>211</v>
      </c>
      <c r="C5511" s="2">
        <f>HYPERLINK("https://sao.dolgi.msk.ru/account/1404109007/", 1404109007)</f>
        <v>1404109007</v>
      </c>
      <c r="D5511">
        <v>0</v>
      </c>
    </row>
    <row r="5512" spans="1:4" hidden="1" x14ac:dyDescent="0.25">
      <c r="A5512" t="s">
        <v>664</v>
      </c>
      <c r="B5512" t="s">
        <v>212</v>
      </c>
      <c r="C5512" s="2">
        <f>HYPERLINK("https://sao.dolgi.msk.ru/account/1404111705/", 1404111705)</f>
        <v>1404111705</v>
      </c>
      <c r="D5512">
        <v>-437.74</v>
      </c>
    </row>
    <row r="5513" spans="1:4" hidden="1" x14ac:dyDescent="0.25">
      <c r="A5513" t="s">
        <v>664</v>
      </c>
      <c r="B5513" t="s">
        <v>213</v>
      </c>
      <c r="C5513" s="2">
        <f>HYPERLINK("https://sao.dolgi.msk.ru/account/1404109015/", 1404109015)</f>
        <v>1404109015</v>
      </c>
      <c r="D5513">
        <v>0</v>
      </c>
    </row>
    <row r="5514" spans="1:4" x14ac:dyDescent="0.25">
      <c r="A5514" t="s">
        <v>664</v>
      </c>
      <c r="B5514" t="s">
        <v>214</v>
      </c>
      <c r="C5514" s="2">
        <f>HYPERLINK("https://sao.dolgi.msk.ru/account/1404110294/", 1404110294)</f>
        <v>1404110294</v>
      </c>
      <c r="D5514">
        <v>202811.61</v>
      </c>
    </row>
    <row r="5515" spans="1:4" hidden="1" x14ac:dyDescent="0.25">
      <c r="A5515" t="s">
        <v>664</v>
      </c>
      <c r="B5515" t="s">
        <v>215</v>
      </c>
      <c r="C5515" s="2">
        <f>HYPERLINK("https://sao.dolgi.msk.ru/account/1404111027/", 1404111027)</f>
        <v>1404111027</v>
      </c>
      <c r="D5515">
        <v>-5313.99</v>
      </c>
    </row>
    <row r="5516" spans="1:4" hidden="1" x14ac:dyDescent="0.25">
      <c r="A5516" t="s">
        <v>664</v>
      </c>
      <c r="B5516" t="s">
        <v>216</v>
      </c>
      <c r="C5516" s="2">
        <f>HYPERLINK("https://sao.dolgi.msk.ru/account/1404110622/", 1404110622)</f>
        <v>1404110622</v>
      </c>
      <c r="D5516">
        <v>-2415.4</v>
      </c>
    </row>
    <row r="5517" spans="1:4" hidden="1" x14ac:dyDescent="0.25">
      <c r="A5517" t="s">
        <v>664</v>
      </c>
      <c r="B5517" t="s">
        <v>217</v>
      </c>
      <c r="C5517" s="2">
        <f>HYPERLINK("https://sao.dolgi.msk.ru/account/1404109402/", 1404109402)</f>
        <v>1404109402</v>
      </c>
      <c r="D5517">
        <v>-2029.22</v>
      </c>
    </row>
    <row r="5518" spans="1:4" hidden="1" x14ac:dyDescent="0.25">
      <c r="A5518" t="s">
        <v>664</v>
      </c>
      <c r="B5518" t="s">
        <v>218</v>
      </c>
      <c r="C5518" s="2">
        <f>HYPERLINK("https://sao.dolgi.msk.ru/account/1404111713/", 1404111713)</f>
        <v>1404111713</v>
      </c>
      <c r="D5518">
        <v>0</v>
      </c>
    </row>
    <row r="5519" spans="1:4" x14ac:dyDescent="0.25">
      <c r="A5519" t="s">
        <v>664</v>
      </c>
      <c r="B5519" t="s">
        <v>219</v>
      </c>
      <c r="C5519" s="2">
        <f>HYPERLINK("https://sao.dolgi.msk.ru/account/1404110307/", 1404110307)</f>
        <v>1404110307</v>
      </c>
      <c r="D5519">
        <v>658.18</v>
      </c>
    </row>
    <row r="5520" spans="1:4" hidden="1" x14ac:dyDescent="0.25">
      <c r="A5520" t="s">
        <v>664</v>
      </c>
      <c r="B5520" t="s">
        <v>220</v>
      </c>
      <c r="C5520" s="2">
        <f>HYPERLINK("https://sao.dolgi.msk.ru/account/1404111035/", 1404111035)</f>
        <v>1404111035</v>
      </c>
      <c r="D5520">
        <v>-1509.74</v>
      </c>
    </row>
    <row r="5521" spans="1:4" hidden="1" x14ac:dyDescent="0.25">
      <c r="A5521" t="s">
        <v>664</v>
      </c>
      <c r="B5521" t="s">
        <v>220</v>
      </c>
      <c r="C5521" s="2">
        <f>HYPERLINK("https://sao.dolgi.msk.ru/account/1404111254/", 1404111254)</f>
        <v>1404111254</v>
      </c>
      <c r="D5521">
        <v>-2214.35</v>
      </c>
    </row>
    <row r="5522" spans="1:4" x14ac:dyDescent="0.25">
      <c r="A5522" t="s">
        <v>664</v>
      </c>
      <c r="B5522" t="s">
        <v>221</v>
      </c>
      <c r="C5522" s="2">
        <f>HYPERLINK("https://sao.dolgi.msk.ru/account/1404109429/", 1404109429)</f>
        <v>1404109429</v>
      </c>
      <c r="D5522">
        <v>11091.59</v>
      </c>
    </row>
    <row r="5523" spans="1:4" hidden="1" x14ac:dyDescent="0.25">
      <c r="A5523" t="s">
        <v>664</v>
      </c>
      <c r="B5523" t="s">
        <v>222</v>
      </c>
      <c r="C5523" s="2">
        <f>HYPERLINK("https://sao.dolgi.msk.ru/account/1404111369/", 1404111369)</f>
        <v>1404111369</v>
      </c>
      <c r="D5523">
        <v>-5873.3</v>
      </c>
    </row>
    <row r="5524" spans="1:4" hidden="1" x14ac:dyDescent="0.25">
      <c r="A5524" t="s">
        <v>664</v>
      </c>
      <c r="B5524" t="s">
        <v>223</v>
      </c>
      <c r="C5524" s="2">
        <f>HYPERLINK("https://sao.dolgi.msk.ru/account/1404111721/", 1404111721)</f>
        <v>1404111721</v>
      </c>
      <c r="D5524">
        <v>-4259.2</v>
      </c>
    </row>
    <row r="5525" spans="1:4" hidden="1" x14ac:dyDescent="0.25">
      <c r="A5525" t="s">
        <v>664</v>
      </c>
      <c r="B5525" t="s">
        <v>224</v>
      </c>
      <c r="C5525" s="2">
        <f>HYPERLINK("https://sao.dolgi.msk.ru/account/1404109437/", 1404109437)</f>
        <v>1404109437</v>
      </c>
      <c r="D5525">
        <v>-2968.19</v>
      </c>
    </row>
    <row r="5526" spans="1:4" hidden="1" x14ac:dyDescent="0.25">
      <c r="A5526" t="s">
        <v>664</v>
      </c>
      <c r="B5526" t="s">
        <v>225</v>
      </c>
      <c r="C5526" s="2">
        <f>HYPERLINK("https://sao.dolgi.msk.ru/account/1404111043/", 1404111043)</f>
        <v>1404111043</v>
      </c>
      <c r="D5526">
        <v>-3147.84</v>
      </c>
    </row>
    <row r="5527" spans="1:4" hidden="1" x14ac:dyDescent="0.25">
      <c r="A5527" t="s">
        <v>664</v>
      </c>
      <c r="B5527" t="s">
        <v>226</v>
      </c>
      <c r="C5527" s="2">
        <f>HYPERLINK("https://sao.dolgi.msk.ru/account/1404111377/", 1404111377)</f>
        <v>1404111377</v>
      </c>
      <c r="D5527">
        <v>-6918.61</v>
      </c>
    </row>
    <row r="5528" spans="1:4" hidden="1" x14ac:dyDescent="0.25">
      <c r="A5528" t="s">
        <v>664</v>
      </c>
      <c r="B5528" t="s">
        <v>227</v>
      </c>
      <c r="C5528" s="2">
        <f>HYPERLINK("https://sao.dolgi.msk.ru/account/1404111561/", 1404111561)</f>
        <v>1404111561</v>
      </c>
      <c r="D5528">
        <v>-4845.45</v>
      </c>
    </row>
    <row r="5529" spans="1:4" hidden="1" x14ac:dyDescent="0.25">
      <c r="A5529" t="s">
        <v>664</v>
      </c>
      <c r="B5529" t="s">
        <v>228</v>
      </c>
      <c r="C5529" s="2">
        <f>HYPERLINK("https://sao.dolgi.msk.ru/account/1404111385/", 1404111385)</f>
        <v>1404111385</v>
      </c>
      <c r="D5529">
        <v>-6230.03</v>
      </c>
    </row>
    <row r="5530" spans="1:4" hidden="1" x14ac:dyDescent="0.25">
      <c r="A5530" t="s">
        <v>665</v>
      </c>
      <c r="B5530" t="s">
        <v>5</v>
      </c>
      <c r="C5530" s="2">
        <f>HYPERLINK("https://sao.dolgi.msk.ru/account/1404112476/", 1404112476)</f>
        <v>1404112476</v>
      </c>
      <c r="D5530">
        <v>0</v>
      </c>
    </row>
    <row r="5531" spans="1:4" x14ac:dyDescent="0.25">
      <c r="A5531" t="s">
        <v>665</v>
      </c>
      <c r="B5531" t="s">
        <v>7</v>
      </c>
      <c r="C5531" s="2">
        <f>HYPERLINK("https://sao.dolgi.msk.ru/account/1404112177/", 1404112177)</f>
        <v>1404112177</v>
      </c>
      <c r="D5531">
        <v>15456.44</v>
      </c>
    </row>
    <row r="5532" spans="1:4" hidden="1" x14ac:dyDescent="0.25">
      <c r="A5532" t="s">
        <v>665</v>
      </c>
      <c r="B5532" t="s">
        <v>8</v>
      </c>
      <c r="C5532" s="2">
        <f>HYPERLINK("https://sao.dolgi.msk.ru/account/1404112409/", 1404112409)</f>
        <v>1404112409</v>
      </c>
      <c r="D5532">
        <v>-11054.02</v>
      </c>
    </row>
    <row r="5533" spans="1:4" hidden="1" x14ac:dyDescent="0.25">
      <c r="A5533" t="s">
        <v>665</v>
      </c>
      <c r="B5533" t="s">
        <v>9</v>
      </c>
      <c r="C5533" s="2">
        <f>HYPERLINK("https://sao.dolgi.msk.ru/account/1404112556/", 1404112556)</f>
        <v>1404112556</v>
      </c>
      <c r="D5533">
        <v>-8131.32</v>
      </c>
    </row>
    <row r="5534" spans="1:4" hidden="1" x14ac:dyDescent="0.25">
      <c r="A5534" t="s">
        <v>665</v>
      </c>
      <c r="B5534" t="s">
        <v>10</v>
      </c>
      <c r="C5534" s="2">
        <f>HYPERLINK("https://sao.dolgi.msk.ru/account/1404112433/", 1404112433)</f>
        <v>1404112433</v>
      </c>
      <c r="D5534">
        <v>-12323.74</v>
      </c>
    </row>
    <row r="5535" spans="1:4" hidden="1" x14ac:dyDescent="0.25">
      <c r="A5535" t="s">
        <v>665</v>
      </c>
      <c r="B5535" t="s">
        <v>11</v>
      </c>
      <c r="C5535" s="2">
        <f>HYPERLINK("https://sao.dolgi.msk.ru/account/1404112898/", 1404112898)</f>
        <v>1404112898</v>
      </c>
      <c r="D5535">
        <v>-11195.63</v>
      </c>
    </row>
    <row r="5536" spans="1:4" hidden="1" x14ac:dyDescent="0.25">
      <c r="A5536" t="s">
        <v>665</v>
      </c>
      <c r="B5536" t="s">
        <v>12</v>
      </c>
      <c r="C5536" s="2">
        <f>HYPERLINK("https://sao.dolgi.msk.ru/account/1404112038/", 1404112038)</f>
        <v>1404112038</v>
      </c>
      <c r="D5536">
        <v>-6469.48</v>
      </c>
    </row>
    <row r="5537" spans="1:4" hidden="1" x14ac:dyDescent="0.25">
      <c r="A5537" t="s">
        <v>665</v>
      </c>
      <c r="B5537" t="s">
        <v>12</v>
      </c>
      <c r="C5537" s="2">
        <f>HYPERLINK("https://sao.dolgi.msk.ru/account/1404112919/", 1404112919)</f>
        <v>1404112919</v>
      </c>
      <c r="D5537">
        <v>-5674.74</v>
      </c>
    </row>
    <row r="5538" spans="1:4" hidden="1" x14ac:dyDescent="0.25">
      <c r="A5538" t="s">
        <v>665</v>
      </c>
      <c r="B5538" t="s">
        <v>12</v>
      </c>
      <c r="C5538" s="2">
        <f>HYPERLINK("https://sao.dolgi.msk.ru/account/1404112927/", 1404112927)</f>
        <v>1404112927</v>
      </c>
      <c r="D5538">
        <v>0</v>
      </c>
    </row>
    <row r="5539" spans="1:4" hidden="1" x14ac:dyDescent="0.25">
      <c r="A5539" t="s">
        <v>665</v>
      </c>
      <c r="B5539" t="s">
        <v>13</v>
      </c>
      <c r="C5539" s="2">
        <f>HYPERLINK("https://sao.dolgi.msk.ru/account/1404112468/", 1404112468)</f>
        <v>1404112468</v>
      </c>
      <c r="D5539">
        <v>0</v>
      </c>
    </row>
    <row r="5540" spans="1:4" hidden="1" x14ac:dyDescent="0.25">
      <c r="A5540" t="s">
        <v>665</v>
      </c>
      <c r="B5540" t="s">
        <v>14</v>
      </c>
      <c r="C5540" s="2">
        <f>HYPERLINK("https://sao.dolgi.msk.ru/account/1404112169/", 1404112169)</f>
        <v>1404112169</v>
      </c>
      <c r="D5540">
        <v>-5938.88</v>
      </c>
    </row>
    <row r="5541" spans="1:4" hidden="1" x14ac:dyDescent="0.25">
      <c r="A5541" t="s">
        <v>665</v>
      </c>
      <c r="B5541" t="s">
        <v>14</v>
      </c>
      <c r="C5541" s="2">
        <f>HYPERLINK("https://sao.dolgi.msk.ru/account/1404112572/", 1404112572)</f>
        <v>1404112572</v>
      </c>
      <c r="D5541">
        <v>-4378.96</v>
      </c>
    </row>
    <row r="5542" spans="1:4" hidden="1" x14ac:dyDescent="0.25">
      <c r="A5542" t="s">
        <v>665</v>
      </c>
      <c r="B5542" t="s">
        <v>15</v>
      </c>
      <c r="C5542" s="2">
        <f>HYPERLINK("https://sao.dolgi.msk.ru/account/1404112046/", 1404112046)</f>
        <v>1404112046</v>
      </c>
      <c r="D5542">
        <v>-3684.18</v>
      </c>
    </row>
    <row r="5543" spans="1:4" hidden="1" x14ac:dyDescent="0.25">
      <c r="A5543" t="s">
        <v>665</v>
      </c>
      <c r="B5543" t="s">
        <v>15</v>
      </c>
      <c r="C5543" s="2">
        <f>HYPERLINK("https://sao.dolgi.msk.ru/account/1404112599/", 1404112599)</f>
        <v>1404112599</v>
      </c>
      <c r="D5543">
        <v>-2087.7800000000002</v>
      </c>
    </row>
    <row r="5544" spans="1:4" hidden="1" x14ac:dyDescent="0.25">
      <c r="A5544" t="s">
        <v>665</v>
      </c>
      <c r="B5544" t="s">
        <v>15</v>
      </c>
      <c r="C5544" s="2">
        <f>HYPERLINK("https://sao.dolgi.msk.ru/account/1404112601/", 1404112601)</f>
        <v>1404112601</v>
      </c>
      <c r="D5544">
        <v>-4026.2</v>
      </c>
    </row>
    <row r="5545" spans="1:4" hidden="1" x14ac:dyDescent="0.25">
      <c r="A5545" t="s">
        <v>665</v>
      </c>
      <c r="B5545" t="s">
        <v>16</v>
      </c>
      <c r="C5545" s="2">
        <f>HYPERLINK("https://sao.dolgi.msk.ru/account/1404112783/", 1404112783)</f>
        <v>1404112783</v>
      </c>
      <c r="D5545">
        <v>-8232.06</v>
      </c>
    </row>
    <row r="5546" spans="1:4" hidden="1" x14ac:dyDescent="0.25">
      <c r="A5546" t="s">
        <v>665</v>
      </c>
      <c r="B5546" t="s">
        <v>18</v>
      </c>
      <c r="C5546" s="2">
        <f>HYPERLINK("https://sao.dolgi.msk.ru/account/1404112492/", 1404112492)</f>
        <v>1404112492</v>
      </c>
      <c r="D5546">
        <v>-7400.36</v>
      </c>
    </row>
    <row r="5547" spans="1:4" hidden="1" x14ac:dyDescent="0.25">
      <c r="A5547" t="s">
        <v>665</v>
      </c>
      <c r="B5547" t="s">
        <v>19</v>
      </c>
      <c r="C5547" s="2">
        <f>HYPERLINK("https://sao.dolgi.msk.ru/account/1404111887/", 1404111887)</f>
        <v>1404111887</v>
      </c>
      <c r="D5547">
        <v>-14145.85</v>
      </c>
    </row>
    <row r="5548" spans="1:4" hidden="1" x14ac:dyDescent="0.25">
      <c r="A5548" t="s">
        <v>665</v>
      </c>
      <c r="B5548" t="s">
        <v>20</v>
      </c>
      <c r="C5548" s="2">
        <f>HYPERLINK("https://sao.dolgi.msk.ru/account/1404112505/", 1404112505)</f>
        <v>1404112505</v>
      </c>
      <c r="D5548">
        <v>-1427.07</v>
      </c>
    </row>
    <row r="5549" spans="1:4" hidden="1" x14ac:dyDescent="0.25">
      <c r="A5549" t="s">
        <v>665</v>
      </c>
      <c r="B5549" t="s">
        <v>20</v>
      </c>
      <c r="C5549" s="2">
        <f>HYPERLINK("https://sao.dolgi.msk.ru/account/1404112791/", 1404112791)</f>
        <v>1404112791</v>
      </c>
      <c r="D5549">
        <v>-5155.66</v>
      </c>
    </row>
    <row r="5550" spans="1:4" hidden="1" x14ac:dyDescent="0.25">
      <c r="A5550" t="s">
        <v>665</v>
      </c>
      <c r="B5550" t="s">
        <v>21</v>
      </c>
      <c r="C5550" s="2">
        <f>HYPERLINK("https://sao.dolgi.msk.ru/account/1404112513/", 1404112513)</f>
        <v>1404112513</v>
      </c>
      <c r="D5550">
        <v>0</v>
      </c>
    </row>
    <row r="5551" spans="1:4" hidden="1" x14ac:dyDescent="0.25">
      <c r="A5551" t="s">
        <v>665</v>
      </c>
      <c r="B5551" t="s">
        <v>22</v>
      </c>
      <c r="C5551" s="2">
        <f>HYPERLINK("https://sao.dolgi.msk.ru/account/1404112273/", 1404112273)</f>
        <v>1404112273</v>
      </c>
      <c r="D5551">
        <v>-365.8</v>
      </c>
    </row>
    <row r="5552" spans="1:4" hidden="1" x14ac:dyDescent="0.25">
      <c r="A5552" t="s">
        <v>665</v>
      </c>
      <c r="B5552" t="s">
        <v>23</v>
      </c>
      <c r="C5552" s="2">
        <f>HYPERLINK("https://sao.dolgi.msk.ru/account/1404112281/", 1404112281)</f>
        <v>1404112281</v>
      </c>
      <c r="D5552">
        <v>0</v>
      </c>
    </row>
    <row r="5553" spans="1:4" hidden="1" x14ac:dyDescent="0.25">
      <c r="A5553" t="s">
        <v>665</v>
      </c>
      <c r="B5553" t="s">
        <v>24</v>
      </c>
      <c r="C5553" s="2">
        <f>HYPERLINK("https://sao.dolgi.msk.ru/account/1404112054/", 1404112054)</f>
        <v>1404112054</v>
      </c>
      <c r="D5553">
        <v>0</v>
      </c>
    </row>
    <row r="5554" spans="1:4" hidden="1" x14ac:dyDescent="0.25">
      <c r="A5554" t="s">
        <v>665</v>
      </c>
      <c r="B5554" t="s">
        <v>25</v>
      </c>
      <c r="C5554" s="2">
        <f>HYPERLINK("https://sao.dolgi.msk.ru/account/1404112628/", 1404112628)</f>
        <v>1404112628</v>
      </c>
      <c r="D5554">
        <v>-12283.35</v>
      </c>
    </row>
    <row r="5555" spans="1:4" hidden="1" x14ac:dyDescent="0.25">
      <c r="A5555" t="s">
        <v>665</v>
      </c>
      <c r="B5555" t="s">
        <v>26</v>
      </c>
      <c r="C5555" s="2">
        <f>HYPERLINK("https://sao.dolgi.msk.ru/account/1404111895/", 1404111895)</f>
        <v>1404111895</v>
      </c>
      <c r="D5555">
        <v>-359.94</v>
      </c>
    </row>
    <row r="5556" spans="1:4" hidden="1" x14ac:dyDescent="0.25">
      <c r="A5556" t="s">
        <v>665</v>
      </c>
      <c r="B5556" t="s">
        <v>27</v>
      </c>
      <c r="C5556" s="2">
        <f>HYPERLINK("https://sao.dolgi.msk.ru/account/1404111908/", 1404111908)</f>
        <v>1404111908</v>
      </c>
      <c r="D5556">
        <v>-3467.06</v>
      </c>
    </row>
    <row r="5557" spans="1:4" x14ac:dyDescent="0.25">
      <c r="A5557" t="s">
        <v>665</v>
      </c>
      <c r="B5557" t="s">
        <v>27</v>
      </c>
      <c r="C5557" s="2">
        <f>HYPERLINK("https://sao.dolgi.msk.ru/account/1404111916/", 1404111916)</f>
        <v>1404111916</v>
      </c>
      <c r="D5557">
        <v>9907.65</v>
      </c>
    </row>
    <row r="5558" spans="1:4" hidden="1" x14ac:dyDescent="0.25">
      <c r="A5558" t="s">
        <v>665</v>
      </c>
      <c r="B5558" t="s">
        <v>27</v>
      </c>
      <c r="C5558" s="2">
        <f>HYPERLINK("https://sao.dolgi.msk.ru/account/1404112257/", 1404112257)</f>
        <v>1404112257</v>
      </c>
      <c r="D5558">
        <v>-1497.86</v>
      </c>
    </row>
    <row r="5559" spans="1:4" x14ac:dyDescent="0.25">
      <c r="A5559" t="s">
        <v>665</v>
      </c>
      <c r="B5559" t="s">
        <v>27</v>
      </c>
      <c r="C5559" s="2">
        <f>HYPERLINK("https://sao.dolgi.msk.ru/account/1404112302/", 1404112302)</f>
        <v>1404112302</v>
      </c>
      <c r="D5559">
        <v>9502</v>
      </c>
    </row>
    <row r="5560" spans="1:4" x14ac:dyDescent="0.25">
      <c r="A5560" t="s">
        <v>665</v>
      </c>
      <c r="B5560" t="s">
        <v>27</v>
      </c>
      <c r="C5560" s="2">
        <f>HYPERLINK("https://sao.dolgi.msk.ru/account/1404112329/", 1404112329)</f>
        <v>1404112329</v>
      </c>
      <c r="D5560">
        <v>25776.74</v>
      </c>
    </row>
    <row r="5561" spans="1:4" hidden="1" x14ac:dyDescent="0.25">
      <c r="A5561" t="s">
        <v>665</v>
      </c>
      <c r="B5561" t="s">
        <v>28</v>
      </c>
      <c r="C5561" s="2">
        <f>HYPERLINK("https://sao.dolgi.msk.ru/account/1404112636/", 1404112636)</f>
        <v>1404112636</v>
      </c>
      <c r="D5561">
        <v>-10757.24</v>
      </c>
    </row>
    <row r="5562" spans="1:4" x14ac:dyDescent="0.25">
      <c r="A5562" t="s">
        <v>665</v>
      </c>
      <c r="B5562" t="s">
        <v>29</v>
      </c>
      <c r="C5562" s="2">
        <f>HYPERLINK("https://sao.dolgi.msk.ru/account/1404112062/", 1404112062)</f>
        <v>1404112062</v>
      </c>
      <c r="D5562">
        <v>8376.74</v>
      </c>
    </row>
    <row r="5563" spans="1:4" hidden="1" x14ac:dyDescent="0.25">
      <c r="A5563" t="s">
        <v>665</v>
      </c>
      <c r="B5563" t="s">
        <v>30</v>
      </c>
      <c r="C5563" s="2">
        <f>HYPERLINK("https://sao.dolgi.msk.ru/account/1404112337/", 1404112337)</f>
        <v>1404112337</v>
      </c>
      <c r="D5563">
        <v>-7574.44</v>
      </c>
    </row>
    <row r="5564" spans="1:4" x14ac:dyDescent="0.25">
      <c r="A5564" t="s">
        <v>665</v>
      </c>
      <c r="B5564" t="s">
        <v>31</v>
      </c>
      <c r="C5564" s="2">
        <f>HYPERLINK("https://sao.dolgi.msk.ru/account/1404112644/", 1404112644)</f>
        <v>1404112644</v>
      </c>
      <c r="D5564">
        <v>1565.85</v>
      </c>
    </row>
    <row r="5565" spans="1:4" hidden="1" x14ac:dyDescent="0.25">
      <c r="A5565" t="s">
        <v>665</v>
      </c>
      <c r="B5565" t="s">
        <v>32</v>
      </c>
      <c r="C5565" s="2">
        <f>HYPERLINK("https://sao.dolgi.msk.ru/account/1404112804/", 1404112804)</f>
        <v>1404112804</v>
      </c>
      <c r="D5565">
        <v>-14737.13</v>
      </c>
    </row>
    <row r="5566" spans="1:4" hidden="1" x14ac:dyDescent="0.25">
      <c r="A5566" t="s">
        <v>665</v>
      </c>
      <c r="B5566" t="s">
        <v>33</v>
      </c>
      <c r="C5566" s="2">
        <f>HYPERLINK("https://sao.dolgi.msk.ru/account/1404112652/", 1404112652)</f>
        <v>1404112652</v>
      </c>
      <c r="D5566">
        <v>-17194.080000000002</v>
      </c>
    </row>
    <row r="5567" spans="1:4" x14ac:dyDescent="0.25">
      <c r="A5567" t="s">
        <v>665</v>
      </c>
      <c r="B5567" t="s">
        <v>34</v>
      </c>
      <c r="C5567" s="2">
        <f>HYPERLINK("https://sao.dolgi.msk.ru/account/1404112724/", 1404112724)</f>
        <v>1404112724</v>
      </c>
      <c r="D5567">
        <v>8862.66</v>
      </c>
    </row>
    <row r="5568" spans="1:4" hidden="1" x14ac:dyDescent="0.25">
      <c r="A5568" t="s">
        <v>665</v>
      </c>
      <c r="B5568" t="s">
        <v>35</v>
      </c>
      <c r="C5568" s="2">
        <f>HYPERLINK("https://sao.dolgi.msk.ru/account/1404112345/", 1404112345)</f>
        <v>1404112345</v>
      </c>
      <c r="D5568">
        <v>-9434.59</v>
      </c>
    </row>
    <row r="5569" spans="1:4" hidden="1" x14ac:dyDescent="0.25">
      <c r="A5569" t="s">
        <v>665</v>
      </c>
      <c r="B5569" t="s">
        <v>36</v>
      </c>
      <c r="C5569" s="2">
        <f>HYPERLINK("https://sao.dolgi.msk.ru/account/1404112521/", 1404112521)</f>
        <v>1404112521</v>
      </c>
      <c r="D5569">
        <v>-14886.24</v>
      </c>
    </row>
    <row r="5570" spans="1:4" hidden="1" x14ac:dyDescent="0.25">
      <c r="A5570" t="s">
        <v>665</v>
      </c>
      <c r="B5570" t="s">
        <v>37</v>
      </c>
      <c r="C5570" s="2">
        <f>HYPERLINK("https://sao.dolgi.msk.ru/account/1404112353/", 1404112353)</f>
        <v>1404112353</v>
      </c>
      <c r="D5570">
        <v>-10386.129999999999</v>
      </c>
    </row>
    <row r="5571" spans="1:4" hidden="1" x14ac:dyDescent="0.25">
      <c r="A5571" t="s">
        <v>665</v>
      </c>
      <c r="B5571" t="s">
        <v>38</v>
      </c>
      <c r="C5571" s="2">
        <f>HYPERLINK("https://sao.dolgi.msk.ru/account/1404112361/", 1404112361)</f>
        <v>1404112361</v>
      </c>
      <c r="D5571">
        <v>-32.340000000000003</v>
      </c>
    </row>
    <row r="5572" spans="1:4" hidden="1" x14ac:dyDescent="0.25">
      <c r="A5572" t="s">
        <v>665</v>
      </c>
      <c r="B5572" t="s">
        <v>39</v>
      </c>
      <c r="C5572" s="2">
        <f>HYPERLINK("https://sao.dolgi.msk.ru/account/1404112679/", 1404112679)</f>
        <v>1404112679</v>
      </c>
      <c r="D5572">
        <v>-14739.12</v>
      </c>
    </row>
    <row r="5573" spans="1:4" hidden="1" x14ac:dyDescent="0.25">
      <c r="A5573" t="s">
        <v>665</v>
      </c>
      <c r="B5573" t="s">
        <v>40</v>
      </c>
      <c r="C5573" s="2">
        <f>HYPERLINK("https://sao.dolgi.msk.ru/account/1404112812/", 1404112812)</f>
        <v>1404112812</v>
      </c>
      <c r="D5573">
        <v>-10047.18</v>
      </c>
    </row>
    <row r="5574" spans="1:4" hidden="1" x14ac:dyDescent="0.25">
      <c r="A5574" t="s">
        <v>665</v>
      </c>
      <c r="B5574" t="s">
        <v>41</v>
      </c>
      <c r="C5574" s="2">
        <f>HYPERLINK("https://sao.dolgi.msk.ru/account/1404112388/", 1404112388)</f>
        <v>1404112388</v>
      </c>
      <c r="D5574">
        <v>0</v>
      </c>
    </row>
    <row r="5575" spans="1:4" hidden="1" x14ac:dyDescent="0.25">
      <c r="A5575" t="s">
        <v>665</v>
      </c>
      <c r="B5575" t="s">
        <v>42</v>
      </c>
      <c r="C5575" s="2">
        <f>HYPERLINK("https://sao.dolgi.msk.ru/account/1404112185/", 1404112185)</f>
        <v>1404112185</v>
      </c>
      <c r="D5575">
        <v>-5575.49</v>
      </c>
    </row>
    <row r="5576" spans="1:4" hidden="1" x14ac:dyDescent="0.25">
      <c r="A5576" t="s">
        <v>665</v>
      </c>
      <c r="B5576" t="s">
        <v>42</v>
      </c>
      <c r="C5576" s="2">
        <f>HYPERLINK("https://sao.dolgi.msk.ru/account/1404112396/", 1404112396)</f>
        <v>1404112396</v>
      </c>
      <c r="D5576">
        <v>-4314.72</v>
      </c>
    </row>
    <row r="5577" spans="1:4" hidden="1" x14ac:dyDescent="0.25">
      <c r="A5577" t="s">
        <v>665</v>
      </c>
      <c r="B5577" t="s">
        <v>43</v>
      </c>
      <c r="C5577" s="2">
        <f>HYPERLINK("https://sao.dolgi.msk.ru/account/1404112193/", 1404112193)</f>
        <v>1404112193</v>
      </c>
      <c r="D5577">
        <v>-14757.76</v>
      </c>
    </row>
    <row r="5578" spans="1:4" x14ac:dyDescent="0.25">
      <c r="A5578" t="s">
        <v>665</v>
      </c>
      <c r="B5578" t="s">
        <v>44</v>
      </c>
      <c r="C5578" s="2">
        <f>HYPERLINK("https://sao.dolgi.msk.ru/account/1404111924/", 1404111924)</f>
        <v>1404111924</v>
      </c>
      <c r="D5578">
        <v>38879.4</v>
      </c>
    </row>
    <row r="5579" spans="1:4" hidden="1" x14ac:dyDescent="0.25">
      <c r="A5579" t="s">
        <v>665</v>
      </c>
      <c r="B5579" t="s">
        <v>45</v>
      </c>
      <c r="C5579" s="2">
        <f>HYPERLINK("https://sao.dolgi.msk.ru/account/1404112548/", 1404112548)</f>
        <v>1404112548</v>
      </c>
      <c r="D5579">
        <v>0</v>
      </c>
    </row>
    <row r="5580" spans="1:4" x14ac:dyDescent="0.25">
      <c r="A5580" t="s">
        <v>665</v>
      </c>
      <c r="B5580" t="s">
        <v>46</v>
      </c>
      <c r="C5580" s="2">
        <f>HYPERLINK("https://sao.dolgi.msk.ru/account/1404112206/", 1404112206)</f>
        <v>1404112206</v>
      </c>
      <c r="D5580">
        <v>455714.02</v>
      </c>
    </row>
    <row r="5581" spans="1:4" hidden="1" x14ac:dyDescent="0.25">
      <c r="A5581" t="s">
        <v>665</v>
      </c>
      <c r="B5581" t="s">
        <v>47</v>
      </c>
      <c r="C5581" s="2">
        <f>HYPERLINK("https://sao.dolgi.msk.ru/account/1404112214/", 1404112214)</f>
        <v>1404112214</v>
      </c>
      <c r="D5581">
        <v>-421.23</v>
      </c>
    </row>
    <row r="5582" spans="1:4" hidden="1" x14ac:dyDescent="0.25">
      <c r="A5582" t="s">
        <v>665</v>
      </c>
      <c r="B5582" t="s">
        <v>49</v>
      </c>
      <c r="C5582" s="2">
        <f>HYPERLINK("https://sao.dolgi.msk.ru/account/1404112687/", 1404112687)</f>
        <v>1404112687</v>
      </c>
      <c r="D5582">
        <v>-6288.65</v>
      </c>
    </row>
    <row r="5583" spans="1:4" x14ac:dyDescent="0.25">
      <c r="A5583" t="s">
        <v>665</v>
      </c>
      <c r="B5583" t="s">
        <v>50</v>
      </c>
      <c r="C5583" s="2">
        <f>HYPERLINK("https://sao.dolgi.msk.ru/account/1404112839/", 1404112839)</f>
        <v>1404112839</v>
      </c>
      <c r="D5583">
        <v>84.27</v>
      </c>
    </row>
    <row r="5584" spans="1:4" hidden="1" x14ac:dyDescent="0.25">
      <c r="A5584" t="s">
        <v>665</v>
      </c>
      <c r="B5584" t="s">
        <v>51</v>
      </c>
      <c r="C5584" s="2">
        <f>HYPERLINK("https://sao.dolgi.msk.ru/account/1404111932/", 1404111932)</f>
        <v>1404111932</v>
      </c>
      <c r="D5584">
        <v>-3622.42</v>
      </c>
    </row>
    <row r="5585" spans="1:4" hidden="1" x14ac:dyDescent="0.25">
      <c r="A5585" t="s">
        <v>665</v>
      </c>
      <c r="B5585" t="s">
        <v>52</v>
      </c>
      <c r="C5585" s="2">
        <f>HYPERLINK("https://sao.dolgi.msk.ru/account/1404111959/", 1404111959)</f>
        <v>1404111959</v>
      </c>
      <c r="D5585">
        <v>-3541.6</v>
      </c>
    </row>
    <row r="5586" spans="1:4" hidden="1" x14ac:dyDescent="0.25">
      <c r="A5586" t="s">
        <v>665</v>
      </c>
      <c r="B5586" t="s">
        <v>52</v>
      </c>
      <c r="C5586" s="2">
        <f>HYPERLINK("https://sao.dolgi.msk.ru/account/1404111967/", 1404111967)</f>
        <v>1404111967</v>
      </c>
      <c r="D5586">
        <v>-2647.07</v>
      </c>
    </row>
    <row r="5587" spans="1:4" hidden="1" x14ac:dyDescent="0.25">
      <c r="A5587" t="s">
        <v>665</v>
      </c>
      <c r="B5587" t="s">
        <v>52</v>
      </c>
      <c r="C5587" s="2">
        <f>HYPERLINK("https://sao.dolgi.msk.ru/account/1404112142/", 1404112142)</f>
        <v>1404112142</v>
      </c>
      <c r="D5587">
        <v>0</v>
      </c>
    </row>
    <row r="5588" spans="1:4" hidden="1" x14ac:dyDescent="0.25">
      <c r="A5588" t="s">
        <v>665</v>
      </c>
      <c r="B5588" t="s">
        <v>52</v>
      </c>
      <c r="C5588" s="2">
        <f>HYPERLINK("https://sao.dolgi.msk.ru/account/1404112417/", 1404112417)</f>
        <v>1404112417</v>
      </c>
      <c r="D5588">
        <v>-2350.85</v>
      </c>
    </row>
    <row r="5589" spans="1:4" hidden="1" x14ac:dyDescent="0.25">
      <c r="A5589" t="s">
        <v>665</v>
      </c>
      <c r="B5589" t="s">
        <v>52</v>
      </c>
      <c r="C5589" s="2">
        <f>HYPERLINK("https://sao.dolgi.msk.ru/account/1404112847/", 1404112847)</f>
        <v>1404112847</v>
      </c>
      <c r="D5589">
        <v>-222.52</v>
      </c>
    </row>
    <row r="5590" spans="1:4" hidden="1" x14ac:dyDescent="0.25">
      <c r="A5590" t="s">
        <v>665</v>
      </c>
      <c r="B5590" t="s">
        <v>53</v>
      </c>
      <c r="C5590" s="2">
        <f>HYPERLINK("https://sao.dolgi.msk.ru/account/1404112855/", 1404112855)</f>
        <v>1404112855</v>
      </c>
      <c r="D5590">
        <v>-6272.06</v>
      </c>
    </row>
    <row r="5591" spans="1:4" x14ac:dyDescent="0.25">
      <c r="A5591" t="s">
        <v>665</v>
      </c>
      <c r="B5591" t="s">
        <v>54</v>
      </c>
      <c r="C5591" s="2">
        <f>HYPERLINK("https://sao.dolgi.msk.ru/account/1404111975/", 1404111975)</f>
        <v>1404111975</v>
      </c>
      <c r="D5591">
        <v>271815.14</v>
      </c>
    </row>
    <row r="5592" spans="1:4" hidden="1" x14ac:dyDescent="0.25">
      <c r="A5592" t="s">
        <v>665</v>
      </c>
      <c r="B5592" t="s">
        <v>54</v>
      </c>
      <c r="C5592" s="2">
        <f>HYPERLINK("https://sao.dolgi.msk.ru/account/1404111983/", 1404111983)</f>
        <v>1404111983</v>
      </c>
      <c r="D5592">
        <v>-863.55</v>
      </c>
    </row>
    <row r="5593" spans="1:4" hidden="1" x14ac:dyDescent="0.25">
      <c r="A5593" t="s">
        <v>665</v>
      </c>
      <c r="B5593" t="s">
        <v>54</v>
      </c>
      <c r="C5593" s="2">
        <f>HYPERLINK("https://sao.dolgi.msk.ru/account/1404112089/", 1404112089)</f>
        <v>1404112089</v>
      </c>
      <c r="D5593">
        <v>-3309.19</v>
      </c>
    </row>
    <row r="5594" spans="1:4" hidden="1" x14ac:dyDescent="0.25">
      <c r="A5594" t="s">
        <v>665</v>
      </c>
      <c r="B5594" t="s">
        <v>54</v>
      </c>
      <c r="C5594" s="2">
        <f>HYPERLINK("https://sao.dolgi.msk.ru/account/1404112265/", 1404112265)</f>
        <v>1404112265</v>
      </c>
      <c r="D5594">
        <v>-1073.3</v>
      </c>
    </row>
    <row r="5595" spans="1:4" x14ac:dyDescent="0.25">
      <c r="A5595" t="s">
        <v>665</v>
      </c>
      <c r="B5595" t="s">
        <v>54</v>
      </c>
      <c r="C5595" s="2">
        <f>HYPERLINK("https://sao.dolgi.msk.ru/account/1404112425/", 1404112425)</f>
        <v>1404112425</v>
      </c>
      <c r="D5595">
        <v>5425.29</v>
      </c>
    </row>
    <row r="5596" spans="1:4" x14ac:dyDescent="0.25">
      <c r="A5596" t="s">
        <v>665</v>
      </c>
      <c r="B5596" t="s">
        <v>54</v>
      </c>
      <c r="C5596" s="2">
        <f>HYPERLINK("https://sao.dolgi.msk.ru/account/1404112716/", 1404112716)</f>
        <v>1404112716</v>
      </c>
      <c r="D5596">
        <v>7034.44</v>
      </c>
    </row>
    <row r="5597" spans="1:4" x14ac:dyDescent="0.25">
      <c r="A5597" t="s">
        <v>665</v>
      </c>
      <c r="B5597" t="s">
        <v>54</v>
      </c>
      <c r="C5597" s="2">
        <f>HYPERLINK("https://sao.dolgi.msk.ru/account/1404112863/", 1404112863)</f>
        <v>1404112863</v>
      </c>
      <c r="D5597">
        <v>16773.27</v>
      </c>
    </row>
    <row r="5598" spans="1:4" x14ac:dyDescent="0.25">
      <c r="A5598" t="s">
        <v>665</v>
      </c>
      <c r="B5598" t="s">
        <v>55</v>
      </c>
      <c r="C5598" s="2">
        <f>HYPERLINK("https://sao.dolgi.msk.ru/account/1404112097/", 1404112097)</f>
        <v>1404112097</v>
      </c>
      <c r="D5598">
        <v>20305.3</v>
      </c>
    </row>
    <row r="5599" spans="1:4" hidden="1" x14ac:dyDescent="0.25">
      <c r="A5599" t="s">
        <v>665</v>
      </c>
      <c r="B5599" t="s">
        <v>56</v>
      </c>
      <c r="C5599" s="2">
        <f>HYPERLINK("https://sao.dolgi.msk.ru/account/1404155468/", 1404155468)</f>
        <v>1404155468</v>
      </c>
      <c r="D5599">
        <v>-14074.68</v>
      </c>
    </row>
    <row r="5600" spans="1:4" hidden="1" x14ac:dyDescent="0.25">
      <c r="A5600" t="s">
        <v>665</v>
      </c>
      <c r="B5600" t="s">
        <v>57</v>
      </c>
      <c r="C5600" s="2">
        <f>HYPERLINK("https://sao.dolgi.msk.ru/account/1404112732/", 1404112732)</f>
        <v>1404112732</v>
      </c>
      <c r="D5600">
        <v>0</v>
      </c>
    </row>
    <row r="5601" spans="1:4" hidden="1" x14ac:dyDescent="0.25">
      <c r="A5601" t="s">
        <v>665</v>
      </c>
      <c r="B5601" t="s">
        <v>58</v>
      </c>
      <c r="C5601" s="2">
        <f>HYPERLINK("https://sao.dolgi.msk.ru/account/1404112249/", 1404112249)</f>
        <v>1404112249</v>
      </c>
      <c r="D5601">
        <v>-12544.98</v>
      </c>
    </row>
    <row r="5602" spans="1:4" hidden="1" x14ac:dyDescent="0.25">
      <c r="A5602" t="s">
        <v>665</v>
      </c>
      <c r="B5602" t="s">
        <v>59</v>
      </c>
      <c r="C5602" s="2">
        <f>HYPERLINK("https://sao.dolgi.msk.ru/account/1404112118/", 1404112118)</f>
        <v>1404112118</v>
      </c>
      <c r="D5602">
        <v>-499.28</v>
      </c>
    </row>
    <row r="5603" spans="1:4" hidden="1" x14ac:dyDescent="0.25">
      <c r="A5603" t="s">
        <v>665</v>
      </c>
      <c r="B5603" t="s">
        <v>60</v>
      </c>
      <c r="C5603" s="2">
        <f>HYPERLINK("https://sao.dolgi.msk.ru/account/1404112126/", 1404112126)</f>
        <v>1404112126</v>
      </c>
      <c r="D5603">
        <v>-7384.52</v>
      </c>
    </row>
    <row r="5604" spans="1:4" hidden="1" x14ac:dyDescent="0.25">
      <c r="A5604" t="s">
        <v>665</v>
      </c>
      <c r="B5604" t="s">
        <v>61</v>
      </c>
      <c r="C5604" s="2">
        <f>HYPERLINK("https://sao.dolgi.msk.ru/account/1404111991/", 1404111991)</f>
        <v>1404111991</v>
      </c>
      <c r="D5604">
        <v>-8468.59</v>
      </c>
    </row>
    <row r="5605" spans="1:4" hidden="1" x14ac:dyDescent="0.25">
      <c r="A5605" t="s">
        <v>665</v>
      </c>
      <c r="B5605" t="s">
        <v>62</v>
      </c>
      <c r="C5605" s="2">
        <f>HYPERLINK("https://sao.dolgi.msk.ru/account/1404112134/", 1404112134)</f>
        <v>1404112134</v>
      </c>
      <c r="D5605">
        <v>0</v>
      </c>
    </row>
    <row r="5606" spans="1:4" hidden="1" x14ac:dyDescent="0.25">
      <c r="A5606" t="s">
        <v>665</v>
      </c>
      <c r="B5606" t="s">
        <v>63</v>
      </c>
      <c r="C5606" s="2">
        <f>HYPERLINK("https://sao.dolgi.msk.ru/account/1404112003/", 1404112003)</f>
        <v>1404112003</v>
      </c>
      <c r="D5606">
        <v>-10533.72</v>
      </c>
    </row>
    <row r="5607" spans="1:4" hidden="1" x14ac:dyDescent="0.25">
      <c r="A5607" t="s">
        <v>665</v>
      </c>
      <c r="B5607" t="s">
        <v>64</v>
      </c>
      <c r="C5607" s="2">
        <f>HYPERLINK("https://sao.dolgi.msk.ru/account/1404112441/", 1404112441)</f>
        <v>1404112441</v>
      </c>
      <c r="D5607">
        <v>-10079.49</v>
      </c>
    </row>
    <row r="5608" spans="1:4" hidden="1" x14ac:dyDescent="0.25">
      <c r="A5608" t="s">
        <v>665</v>
      </c>
      <c r="B5608" t="s">
        <v>65</v>
      </c>
      <c r="C5608" s="2">
        <f>HYPERLINK("https://sao.dolgi.msk.ru/account/1404112759/", 1404112759)</f>
        <v>1404112759</v>
      </c>
      <c r="D5608">
        <v>-10422.719999999999</v>
      </c>
    </row>
    <row r="5609" spans="1:4" hidden="1" x14ac:dyDescent="0.25">
      <c r="A5609" t="s">
        <v>665</v>
      </c>
      <c r="B5609" t="s">
        <v>66</v>
      </c>
      <c r="C5609" s="2">
        <f>HYPERLINK("https://sao.dolgi.msk.ru/account/1404112564/", 1404112564)</f>
        <v>1404112564</v>
      </c>
      <c r="D5609">
        <v>0</v>
      </c>
    </row>
    <row r="5610" spans="1:4" hidden="1" x14ac:dyDescent="0.25">
      <c r="A5610" t="s">
        <v>665</v>
      </c>
      <c r="B5610" t="s">
        <v>67</v>
      </c>
      <c r="C5610" s="2">
        <f>HYPERLINK("https://sao.dolgi.msk.ru/account/1404112222/", 1404112222)</f>
        <v>1404112222</v>
      </c>
      <c r="D5610">
        <v>-10089.950000000001</v>
      </c>
    </row>
    <row r="5611" spans="1:4" hidden="1" x14ac:dyDescent="0.25">
      <c r="A5611" t="s">
        <v>665</v>
      </c>
      <c r="B5611" t="s">
        <v>68</v>
      </c>
      <c r="C5611" s="2">
        <f>HYPERLINK("https://sao.dolgi.msk.ru/account/1404112767/", 1404112767)</f>
        <v>1404112767</v>
      </c>
      <c r="D5611">
        <v>-15222.46</v>
      </c>
    </row>
    <row r="5612" spans="1:4" hidden="1" x14ac:dyDescent="0.25">
      <c r="A5612" t="s">
        <v>665</v>
      </c>
      <c r="B5612" t="s">
        <v>69</v>
      </c>
      <c r="C5612" s="2">
        <f>HYPERLINK("https://sao.dolgi.msk.ru/account/1404112011/", 1404112011)</f>
        <v>1404112011</v>
      </c>
      <c r="D5612">
        <v>0</v>
      </c>
    </row>
    <row r="5613" spans="1:4" hidden="1" x14ac:dyDescent="0.25">
      <c r="A5613" t="s">
        <v>665</v>
      </c>
      <c r="B5613" t="s">
        <v>69</v>
      </c>
      <c r="C5613" s="2">
        <f>HYPERLINK("https://sao.dolgi.msk.ru/account/1404112708/", 1404112708)</f>
        <v>1404112708</v>
      </c>
      <c r="D5613">
        <v>-540.55999999999995</v>
      </c>
    </row>
    <row r="5614" spans="1:4" hidden="1" x14ac:dyDescent="0.25">
      <c r="A5614" t="s">
        <v>665</v>
      </c>
      <c r="B5614" t="s">
        <v>69</v>
      </c>
      <c r="C5614" s="2">
        <f>HYPERLINK("https://sao.dolgi.msk.ru/account/1404112871/", 1404112871)</f>
        <v>1404112871</v>
      </c>
      <c r="D5614">
        <v>-7732.57</v>
      </c>
    </row>
    <row r="5615" spans="1:4" hidden="1" x14ac:dyDescent="0.25">
      <c r="A5615" t="s">
        <v>665</v>
      </c>
      <c r="B5615" t="s">
        <v>70</v>
      </c>
      <c r="C5615" s="2">
        <f>HYPERLINK("https://sao.dolgi.msk.ru/account/1404112775/", 1404112775)</f>
        <v>1404112775</v>
      </c>
      <c r="D5615">
        <v>-6676.24</v>
      </c>
    </row>
    <row r="5616" spans="1:4" hidden="1" x14ac:dyDescent="0.25">
      <c r="A5616" t="s">
        <v>666</v>
      </c>
      <c r="B5616" t="s">
        <v>5</v>
      </c>
      <c r="C5616" s="2">
        <f>HYPERLINK("https://sao.dolgi.msk.ru/account/1404114033/", 1404114033)</f>
        <v>1404114033</v>
      </c>
      <c r="D5616">
        <v>-5472.97</v>
      </c>
    </row>
    <row r="5617" spans="1:4" hidden="1" x14ac:dyDescent="0.25">
      <c r="A5617" t="s">
        <v>666</v>
      </c>
      <c r="B5617" t="s">
        <v>6</v>
      </c>
      <c r="C5617" s="2">
        <f>HYPERLINK("https://sao.dolgi.msk.ru/account/1404113743/", 1404113743)</f>
        <v>1404113743</v>
      </c>
      <c r="D5617">
        <v>-6193.7</v>
      </c>
    </row>
    <row r="5618" spans="1:4" hidden="1" x14ac:dyDescent="0.25">
      <c r="A5618" t="s">
        <v>666</v>
      </c>
      <c r="B5618" t="s">
        <v>7</v>
      </c>
      <c r="C5618" s="2">
        <f>HYPERLINK("https://sao.dolgi.msk.ru/account/1404113014/", 1404113014)</f>
        <v>1404113014</v>
      </c>
      <c r="D5618">
        <v>0</v>
      </c>
    </row>
    <row r="5619" spans="1:4" hidden="1" x14ac:dyDescent="0.25">
      <c r="A5619" t="s">
        <v>666</v>
      </c>
      <c r="B5619" t="s">
        <v>8</v>
      </c>
      <c r="C5619" s="2">
        <f>HYPERLINK("https://sao.dolgi.msk.ru/account/1404114148/", 1404114148)</f>
        <v>1404114148</v>
      </c>
      <c r="D5619">
        <v>-9105.39</v>
      </c>
    </row>
    <row r="5620" spans="1:4" x14ac:dyDescent="0.25">
      <c r="A5620" t="s">
        <v>666</v>
      </c>
      <c r="B5620" t="s">
        <v>9</v>
      </c>
      <c r="C5620" s="2">
        <f>HYPERLINK("https://sao.dolgi.msk.ru/account/1404113065/", 1404113065)</f>
        <v>1404113065</v>
      </c>
      <c r="D5620">
        <v>26412.39</v>
      </c>
    </row>
    <row r="5621" spans="1:4" x14ac:dyDescent="0.25">
      <c r="A5621" t="s">
        <v>666</v>
      </c>
      <c r="B5621" t="s">
        <v>9</v>
      </c>
      <c r="C5621" s="2">
        <f>HYPERLINK("https://sao.dolgi.msk.ru/account/1404114287/", 1404114287)</f>
        <v>1404114287</v>
      </c>
      <c r="D5621">
        <v>12496.12</v>
      </c>
    </row>
    <row r="5622" spans="1:4" hidden="1" x14ac:dyDescent="0.25">
      <c r="A5622" t="s">
        <v>666</v>
      </c>
      <c r="B5622" t="s">
        <v>10</v>
      </c>
      <c r="C5622" s="2">
        <f>HYPERLINK("https://sao.dolgi.msk.ru/account/1404114412/", 1404114412)</f>
        <v>1404114412</v>
      </c>
      <c r="D5622">
        <v>-3353.55</v>
      </c>
    </row>
    <row r="5623" spans="1:4" hidden="1" x14ac:dyDescent="0.25">
      <c r="A5623" t="s">
        <v>666</v>
      </c>
      <c r="B5623" t="s">
        <v>11</v>
      </c>
      <c r="C5623" s="2">
        <f>HYPERLINK("https://sao.dolgi.msk.ru/account/1404113129/", 1404113129)</f>
        <v>1404113129</v>
      </c>
      <c r="D5623">
        <v>-12403.89</v>
      </c>
    </row>
    <row r="5624" spans="1:4" hidden="1" x14ac:dyDescent="0.25">
      <c r="A5624" t="s">
        <v>666</v>
      </c>
      <c r="B5624" t="s">
        <v>12</v>
      </c>
      <c r="C5624" s="2">
        <f>HYPERLINK("https://sao.dolgi.msk.ru/account/1404114228/", 1404114228)</f>
        <v>1404114228</v>
      </c>
      <c r="D5624">
        <v>-60.18</v>
      </c>
    </row>
    <row r="5625" spans="1:4" hidden="1" x14ac:dyDescent="0.25">
      <c r="A5625" t="s">
        <v>666</v>
      </c>
      <c r="B5625" t="s">
        <v>13</v>
      </c>
      <c r="C5625" s="2">
        <f>HYPERLINK("https://sao.dolgi.msk.ru/account/1404113655/", 1404113655)</f>
        <v>1404113655</v>
      </c>
      <c r="D5625">
        <v>0</v>
      </c>
    </row>
    <row r="5626" spans="1:4" hidden="1" x14ac:dyDescent="0.25">
      <c r="A5626" t="s">
        <v>666</v>
      </c>
      <c r="B5626" t="s">
        <v>14</v>
      </c>
      <c r="C5626" s="2">
        <f>HYPERLINK("https://sao.dolgi.msk.ru/account/1404113321/", 1404113321)</f>
        <v>1404113321</v>
      </c>
      <c r="D5626">
        <v>0</v>
      </c>
    </row>
    <row r="5627" spans="1:4" hidden="1" x14ac:dyDescent="0.25">
      <c r="A5627" t="s">
        <v>666</v>
      </c>
      <c r="B5627" t="s">
        <v>15</v>
      </c>
      <c r="C5627" s="2">
        <f>HYPERLINK("https://sao.dolgi.msk.ru/account/1404112986/", 1404112986)</f>
        <v>1404112986</v>
      </c>
      <c r="D5627">
        <v>0</v>
      </c>
    </row>
    <row r="5628" spans="1:4" hidden="1" x14ac:dyDescent="0.25">
      <c r="A5628" t="s">
        <v>666</v>
      </c>
      <c r="B5628" t="s">
        <v>16</v>
      </c>
      <c r="C5628" s="2">
        <f>HYPERLINK("https://sao.dolgi.msk.ru/account/1404113532/", 1404113532)</f>
        <v>1404113532</v>
      </c>
      <c r="D5628">
        <v>-9175.51</v>
      </c>
    </row>
    <row r="5629" spans="1:4" hidden="1" x14ac:dyDescent="0.25">
      <c r="A5629" t="s">
        <v>666</v>
      </c>
      <c r="B5629" t="s">
        <v>17</v>
      </c>
      <c r="C5629" s="2">
        <f>HYPERLINK("https://sao.dolgi.msk.ru/account/1404100811/", 1404100811)</f>
        <v>1404100811</v>
      </c>
      <c r="D5629">
        <v>-3141.87</v>
      </c>
    </row>
    <row r="5630" spans="1:4" hidden="1" x14ac:dyDescent="0.25">
      <c r="A5630" t="s">
        <v>666</v>
      </c>
      <c r="B5630" t="s">
        <v>17</v>
      </c>
      <c r="C5630" s="2">
        <f>HYPERLINK("https://sao.dolgi.msk.ru/account/1404113196/", 1404113196)</f>
        <v>1404113196</v>
      </c>
      <c r="D5630">
        <v>-6283.71</v>
      </c>
    </row>
    <row r="5631" spans="1:4" hidden="1" x14ac:dyDescent="0.25">
      <c r="A5631" t="s">
        <v>666</v>
      </c>
      <c r="B5631" t="s">
        <v>17</v>
      </c>
      <c r="C5631" s="2">
        <f>HYPERLINK("https://sao.dolgi.msk.ru/account/1404114092/", 1404114092)</f>
        <v>1404114092</v>
      </c>
      <c r="D5631">
        <v>-352.98</v>
      </c>
    </row>
    <row r="5632" spans="1:4" hidden="1" x14ac:dyDescent="0.25">
      <c r="A5632" t="s">
        <v>666</v>
      </c>
      <c r="B5632" t="s">
        <v>18</v>
      </c>
      <c r="C5632" s="2">
        <f>HYPERLINK("https://sao.dolgi.msk.ru/account/1404114332/", 1404114332)</f>
        <v>1404114332</v>
      </c>
      <c r="D5632">
        <v>-6014.33</v>
      </c>
    </row>
    <row r="5633" spans="1:4" hidden="1" x14ac:dyDescent="0.25">
      <c r="A5633" t="s">
        <v>666</v>
      </c>
      <c r="B5633" t="s">
        <v>19</v>
      </c>
      <c r="C5633" s="2">
        <f>HYPERLINK("https://sao.dolgi.msk.ru/account/1404113727/", 1404113727)</f>
        <v>1404113727</v>
      </c>
      <c r="D5633">
        <v>-8645.01</v>
      </c>
    </row>
    <row r="5634" spans="1:4" hidden="1" x14ac:dyDescent="0.25">
      <c r="A5634" t="s">
        <v>666</v>
      </c>
      <c r="B5634" t="s">
        <v>20</v>
      </c>
      <c r="C5634" s="2">
        <f>HYPERLINK("https://sao.dolgi.msk.ru/account/1404113006/", 1404113006)</f>
        <v>1404113006</v>
      </c>
      <c r="D5634">
        <v>-304.33</v>
      </c>
    </row>
    <row r="5635" spans="1:4" hidden="1" x14ac:dyDescent="0.25">
      <c r="A5635" t="s">
        <v>666</v>
      </c>
      <c r="B5635" t="s">
        <v>20</v>
      </c>
      <c r="C5635" s="2">
        <f>HYPERLINK("https://sao.dolgi.msk.ru/account/1404114295/", 1404114295)</f>
        <v>1404114295</v>
      </c>
      <c r="D5635">
        <v>-304.33</v>
      </c>
    </row>
    <row r="5636" spans="1:4" x14ac:dyDescent="0.25">
      <c r="A5636" t="s">
        <v>666</v>
      </c>
      <c r="B5636" t="s">
        <v>21</v>
      </c>
      <c r="C5636" s="2">
        <f>HYPERLINK("https://sao.dolgi.msk.ru/account/1404114359/", 1404114359)</f>
        <v>1404114359</v>
      </c>
      <c r="D5636">
        <v>18595.400000000001</v>
      </c>
    </row>
    <row r="5637" spans="1:4" hidden="1" x14ac:dyDescent="0.25">
      <c r="A5637" t="s">
        <v>666</v>
      </c>
      <c r="B5637" t="s">
        <v>22</v>
      </c>
      <c r="C5637" s="2">
        <f>HYPERLINK("https://sao.dolgi.msk.ru/account/1404113233/", 1404113233)</f>
        <v>1404113233</v>
      </c>
      <c r="D5637">
        <v>-5102.4799999999996</v>
      </c>
    </row>
    <row r="5638" spans="1:4" hidden="1" x14ac:dyDescent="0.25">
      <c r="A5638" t="s">
        <v>666</v>
      </c>
      <c r="B5638" t="s">
        <v>23</v>
      </c>
      <c r="C5638" s="2">
        <f>HYPERLINK("https://sao.dolgi.msk.ru/account/1404113735/", 1404113735)</f>
        <v>1404113735</v>
      </c>
      <c r="D5638">
        <v>-2010.75</v>
      </c>
    </row>
    <row r="5639" spans="1:4" hidden="1" x14ac:dyDescent="0.25">
      <c r="A5639" t="s">
        <v>666</v>
      </c>
      <c r="B5639" t="s">
        <v>24</v>
      </c>
      <c r="C5639" s="2">
        <f>HYPERLINK("https://sao.dolgi.msk.ru/account/1404113372/", 1404113372)</f>
        <v>1404113372</v>
      </c>
      <c r="D5639">
        <v>-7460.46</v>
      </c>
    </row>
    <row r="5640" spans="1:4" hidden="1" x14ac:dyDescent="0.25">
      <c r="A5640" t="s">
        <v>666</v>
      </c>
      <c r="B5640" t="s">
        <v>25</v>
      </c>
      <c r="C5640" s="2">
        <f>HYPERLINK("https://sao.dolgi.msk.ru/account/1404113241/", 1404113241)</f>
        <v>1404113241</v>
      </c>
      <c r="D5640">
        <v>-6112.51</v>
      </c>
    </row>
    <row r="5641" spans="1:4" hidden="1" x14ac:dyDescent="0.25">
      <c r="A5641" t="s">
        <v>666</v>
      </c>
      <c r="B5641" t="s">
        <v>26</v>
      </c>
      <c r="C5641" s="2">
        <f>HYPERLINK("https://sao.dolgi.msk.ru/account/1404113751/", 1404113751)</f>
        <v>1404113751</v>
      </c>
      <c r="D5641">
        <v>-8862.2199999999993</v>
      </c>
    </row>
    <row r="5642" spans="1:4" hidden="1" x14ac:dyDescent="0.25">
      <c r="A5642" t="s">
        <v>666</v>
      </c>
      <c r="B5642" t="s">
        <v>27</v>
      </c>
      <c r="C5642" s="2">
        <f>HYPERLINK("https://sao.dolgi.msk.ru/account/1404113268/", 1404113268)</f>
        <v>1404113268</v>
      </c>
      <c r="D5642">
        <v>-11323.47</v>
      </c>
    </row>
    <row r="5643" spans="1:4" hidden="1" x14ac:dyDescent="0.25">
      <c r="A5643" t="s">
        <v>666</v>
      </c>
      <c r="B5643" t="s">
        <v>28</v>
      </c>
      <c r="C5643" s="2">
        <f>HYPERLINK("https://sao.dolgi.msk.ru/account/1404114367/", 1404114367)</f>
        <v>1404114367</v>
      </c>
      <c r="D5643">
        <v>-7898</v>
      </c>
    </row>
    <row r="5644" spans="1:4" x14ac:dyDescent="0.25">
      <c r="A5644" t="s">
        <v>666</v>
      </c>
      <c r="B5644" t="s">
        <v>29</v>
      </c>
      <c r="C5644" s="2">
        <f>HYPERLINK("https://sao.dolgi.msk.ru/account/1404113778/", 1404113778)</f>
        <v>1404113778</v>
      </c>
      <c r="D5644">
        <v>19856.86</v>
      </c>
    </row>
    <row r="5645" spans="1:4" hidden="1" x14ac:dyDescent="0.25">
      <c r="A5645" t="s">
        <v>666</v>
      </c>
      <c r="B5645" t="s">
        <v>30</v>
      </c>
      <c r="C5645" s="2">
        <f>HYPERLINK("https://sao.dolgi.msk.ru/account/1404113559/", 1404113559)</f>
        <v>1404113559</v>
      </c>
      <c r="D5645">
        <v>-3802.06</v>
      </c>
    </row>
    <row r="5646" spans="1:4" hidden="1" x14ac:dyDescent="0.25">
      <c r="A5646" t="s">
        <v>666</v>
      </c>
      <c r="B5646" t="s">
        <v>31</v>
      </c>
      <c r="C5646" s="2">
        <f>HYPERLINK("https://sao.dolgi.msk.ru/account/1404114105/", 1404114105)</f>
        <v>1404114105</v>
      </c>
      <c r="D5646">
        <v>0</v>
      </c>
    </row>
    <row r="5647" spans="1:4" hidden="1" x14ac:dyDescent="0.25">
      <c r="A5647" t="s">
        <v>666</v>
      </c>
      <c r="B5647" t="s">
        <v>32</v>
      </c>
      <c r="C5647" s="2">
        <f>HYPERLINK("https://sao.dolgi.msk.ru/account/1404113209/", 1404113209)</f>
        <v>1404113209</v>
      </c>
      <c r="D5647">
        <v>-3821.73</v>
      </c>
    </row>
    <row r="5648" spans="1:4" hidden="1" x14ac:dyDescent="0.25">
      <c r="A5648" t="s">
        <v>666</v>
      </c>
      <c r="B5648" t="s">
        <v>32</v>
      </c>
      <c r="C5648" s="2">
        <f>HYPERLINK("https://sao.dolgi.msk.ru/account/1404113276/", 1404113276)</f>
        <v>1404113276</v>
      </c>
      <c r="D5648">
        <v>-3277.79</v>
      </c>
    </row>
    <row r="5649" spans="1:4" hidden="1" x14ac:dyDescent="0.25">
      <c r="A5649" t="s">
        <v>666</v>
      </c>
      <c r="B5649" t="s">
        <v>33</v>
      </c>
      <c r="C5649" s="2">
        <f>HYPERLINK("https://sao.dolgi.msk.ru/account/1404114113/", 1404114113)</f>
        <v>1404114113</v>
      </c>
      <c r="D5649">
        <v>0</v>
      </c>
    </row>
    <row r="5650" spans="1:4" hidden="1" x14ac:dyDescent="0.25">
      <c r="A5650" t="s">
        <v>666</v>
      </c>
      <c r="B5650" t="s">
        <v>34</v>
      </c>
      <c r="C5650" s="2">
        <f>HYPERLINK("https://sao.dolgi.msk.ru/account/1404113022/", 1404113022)</f>
        <v>1404113022</v>
      </c>
      <c r="D5650">
        <v>-3866.61</v>
      </c>
    </row>
    <row r="5651" spans="1:4" hidden="1" x14ac:dyDescent="0.25">
      <c r="A5651" t="s">
        <v>666</v>
      </c>
      <c r="B5651" t="s">
        <v>34</v>
      </c>
      <c r="C5651" s="2">
        <f>HYPERLINK("https://sao.dolgi.msk.ru/account/1404114121/", 1404114121)</f>
        <v>1404114121</v>
      </c>
      <c r="D5651">
        <v>-2504.0700000000002</v>
      </c>
    </row>
    <row r="5652" spans="1:4" hidden="1" x14ac:dyDescent="0.25">
      <c r="A5652" t="s">
        <v>666</v>
      </c>
      <c r="B5652" t="s">
        <v>35</v>
      </c>
      <c r="C5652" s="2">
        <f>HYPERLINK("https://sao.dolgi.msk.ru/account/1404113567/", 1404113567)</f>
        <v>1404113567</v>
      </c>
      <c r="D5652">
        <v>0</v>
      </c>
    </row>
    <row r="5653" spans="1:4" hidden="1" x14ac:dyDescent="0.25">
      <c r="A5653" t="s">
        <v>666</v>
      </c>
      <c r="B5653" t="s">
        <v>36</v>
      </c>
      <c r="C5653" s="2">
        <f>HYPERLINK("https://sao.dolgi.msk.ru/account/1404113049/", 1404113049)</f>
        <v>1404113049</v>
      </c>
      <c r="D5653">
        <v>-5559.12</v>
      </c>
    </row>
    <row r="5654" spans="1:4" hidden="1" x14ac:dyDescent="0.25">
      <c r="A5654" t="s">
        <v>666</v>
      </c>
      <c r="B5654" t="s">
        <v>37</v>
      </c>
      <c r="C5654" s="2">
        <f>HYPERLINK("https://sao.dolgi.msk.ru/account/1404113575/", 1404113575)</f>
        <v>1404113575</v>
      </c>
      <c r="D5654">
        <v>-6178.27</v>
      </c>
    </row>
    <row r="5655" spans="1:4" hidden="1" x14ac:dyDescent="0.25">
      <c r="A5655" t="s">
        <v>666</v>
      </c>
      <c r="B5655" t="s">
        <v>38</v>
      </c>
      <c r="C5655" s="2">
        <f>HYPERLINK("https://sao.dolgi.msk.ru/account/1404114375/", 1404114375)</f>
        <v>1404114375</v>
      </c>
      <c r="D5655">
        <v>-952.82</v>
      </c>
    </row>
    <row r="5656" spans="1:4" hidden="1" x14ac:dyDescent="0.25">
      <c r="A5656" t="s">
        <v>666</v>
      </c>
      <c r="B5656" t="s">
        <v>39</v>
      </c>
      <c r="C5656" s="2">
        <f>HYPERLINK("https://sao.dolgi.msk.ru/account/1404114383/", 1404114383)</f>
        <v>1404114383</v>
      </c>
      <c r="D5656">
        <v>-5530.94</v>
      </c>
    </row>
    <row r="5657" spans="1:4" hidden="1" x14ac:dyDescent="0.25">
      <c r="A5657" t="s">
        <v>666</v>
      </c>
      <c r="B5657" t="s">
        <v>40</v>
      </c>
      <c r="C5657" s="2">
        <f>HYPERLINK("https://sao.dolgi.msk.ru/account/1404113911/", 1404113911)</f>
        <v>1404113911</v>
      </c>
      <c r="D5657">
        <v>0</v>
      </c>
    </row>
    <row r="5658" spans="1:4" hidden="1" x14ac:dyDescent="0.25">
      <c r="A5658" t="s">
        <v>666</v>
      </c>
      <c r="B5658" t="s">
        <v>41</v>
      </c>
      <c r="C5658" s="2">
        <f>HYPERLINK("https://sao.dolgi.msk.ru/account/1404113399/", 1404113399)</f>
        <v>1404113399</v>
      </c>
      <c r="D5658">
        <v>-5998.58</v>
      </c>
    </row>
    <row r="5659" spans="1:4" hidden="1" x14ac:dyDescent="0.25">
      <c r="A5659" t="s">
        <v>666</v>
      </c>
      <c r="B5659" t="s">
        <v>42</v>
      </c>
      <c r="C5659" s="2">
        <f>HYPERLINK("https://sao.dolgi.msk.ru/account/1404113583/", 1404113583)</f>
        <v>1404113583</v>
      </c>
      <c r="D5659">
        <v>0</v>
      </c>
    </row>
    <row r="5660" spans="1:4" x14ac:dyDescent="0.25">
      <c r="A5660" t="s">
        <v>666</v>
      </c>
      <c r="B5660" t="s">
        <v>43</v>
      </c>
      <c r="C5660" s="2">
        <f>HYPERLINK("https://sao.dolgi.msk.ru/account/1404113401/", 1404113401)</f>
        <v>1404113401</v>
      </c>
      <c r="D5660">
        <v>130185.47</v>
      </c>
    </row>
    <row r="5661" spans="1:4" hidden="1" x14ac:dyDescent="0.25">
      <c r="A5661" t="s">
        <v>666</v>
      </c>
      <c r="B5661" t="s">
        <v>44</v>
      </c>
      <c r="C5661" s="2">
        <f>HYPERLINK("https://sao.dolgi.msk.ru/account/1404113938/", 1404113938)</f>
        <v>1404113938</v>
      </c>
      <c r="D5661">
        <v>0</v>
      </c>
    </row>
    <row r="5662" spans="1:4" hidden="1" x14ac:dyDescent="0.25">
      <c r="A5662" t="s">
        <v>666</v>
      </c>
      <c r="B5662" t="s">
        <v>45</v>
      </c>
      <c r="C5662" s="2">
        <f>HYPERLINK("https://sao.dolgi.msk.ru/account/1404113428/", 1404113428)</f>
        <v>1404113428</v>
      </c>
      <c r="D5662">
        <v>-9944.07</v>
      </c>
    </row>
    <row r="5663" spans="1:4" x14ac:dyDescent="0.25">
      <c r="A5663" t="s">
        <v>666</v>
      </c>
      <c r="B5663" t="s">
        <v>46</v>
      </c>
      <c r="C5663" s="2">
        <f>HYPERLINK("https://sao.dolgi.msk.ru/account/1404113786/", 1404113786)</f>
        <v>1404113786</v>
      </c>
      <c r="D5663">
        <v>190128.16</v>
      </c>
    </row>
    <row r="5664" spans="1:4" hidden="1" x14ac:dyDescent="0.25">
      <c r="A5664" t="s">
        <v>666</v>
      </c>
      <c r="B5664" t="s">
        <v>47</v>
      </c>
      <c r="C5664" s="2">
        <f>HYPERLINK("https://sao.dolgi.msk.ru/account/1404114391/", 1404114391)</f>
        <v>1404114391</v>
      </c>
      <c r="D5664">
        <v>-8636.6299999999992</v>
      </c>
    </row>
    <row r="5665" spans="1:4" hidden="1" x14ac:dyDescent="0.25">
      <c r="A5665" t="s">
        <v>666</v>
      </c>
      <c r="B5665" t="s">
        <v>48</v>
      </c>
      <c r="C5665" s="2">
        <f>HYPERLINK("https://sao.dolgi.msk.ru/account/1404113057/", 1404113057)</f>
        <v>1404113057</v>
      </c>
      <c r="D5665">
        <v>0</v>
      </c>
    </row>
    <row r="5666" spans="1:4" hidden="1" x14ac:dyDescent="0.25">
      <c r="A5666" t="s">
        <v>666</v>
      </c>
      <c r="B5666" t="s">
        <v>49</v>
      </c>
      <c r="C5666" s="2">
        <f>HYPERLINK("https://sao.dolgi.msk.ru/account/1404113436/", 1404113436)</f>
        <v>1404113436</v>
      </c>
      <c r="D5666">
        <v>-9385.9500000000007</v>
      </c>
    </row>
    <row r="5667" spans="1:4" hidden="1" x14ac:dyDescent="0.25">
      <c r="A5667" t="s">
        <v>666</v>
      </c>
      <c r="B5667" t="s">
        <v>50</v>
      </c>
      <c r="C5667" s="2">
        <f>HYPERLINK("https://sao.dolgi.msk.ru/account/1404113946/", 1404113946)</f>
        <v>1404113946</v>
      </c>
      <c r="D5667">
        <v>-1992.32</v>
      </c>
    </row>
    <row r="5668" spans="1:4" hidden="1" x14ac:dyDescent="0.25">
      <c r="A5668" t="s">
        <v>666</v>
      </c>
      <c r="B5668" t="s">
        <v>51</v>
      </c>
      <c r="C5668" s="2">
        <f>HYPERLINK("https://sao.dolgi.msk.ru/account/1404114156/", 1404114156)</f>
        <v>1404114156</v>
      </c>
      <c r="D5668">
        <v>-4283.07</v>
      </c>
    </row>
    <row r="5669" spans="1:4" hidden="1" x14ac:dyDescent="0.25">
      <c r="A5669" t="s">
        <v>666</v>
      </c>
      <c r="B5669" t="s">
        <v>52</v>
      </c>
      <c r="C5669" s="2">
        <f>HYPERLINK("https://sao.dolgi.msk.ru/account/1404113444/", 1404113444)</f>
        <v>1404113444</v>
      </c>
      <c r="D5669">
        <v>-3551.25</v>
      </c>
    </row>
    <row r="5670" spans="1:4" hidden="1" x14ac:dyDescent="0.25">
      <c r="A5670" t="s">
        <v>666</v>
      </c>
      <c r="B5670" t="s">
        <v>53</v>
      </c>
      <c r="C5670" s="2">
        <f>HYPERLINK("https://sao.dolgi.msk.ru/account/1404114164/", 1404114164)</f>
        <v>1404114164</v>
      </c>
      <c r="D5670">
        <v>-1399.48</v>
      </c>
    </row>
    <row r="5671" spans="1:4" hidden="1" x14ac:dyDescent="0.25">
      <c r="A5671" t="s">
        <v>666</v>
      </c>
      <c r="B5671" t="s">
        <v>54</v>
      </c>
      <c r="C5671" s="2">
        <f>HYPERLINK("https://sao.dolgi.msk.ru/account/1404113591/", 1404113591)</f>
        <v>1404113591</v>
      </c>
      <c r="D5671">
        <v>-498.32</v>
      </c>
    </row>
    <row r="5672" spans="1:4" hidden="1" x14ac:dyDescent="0.25">
      <c r="A5672" t="s">
        <v>666</v>
      </c>
      <c r="B5672" t="s">
        <v>55</v>
      </c>
      <c r="C5672" s="2">
        <f>HYPERLINK("https://sao.dolgi.msk.ru/account/1404113452/", 1404113452)</f>
        <v>1404113452</v>
      </c>
      <c r="D5672">
        <v>-5649.17</v>
      </c>
    </row>
    <row r="5673" spans="1:4" hidden="1" x14ac:dyDescent="0.25">
      <c r="A5673" t="s">
        <v>666</v>
      </c>
      <c r="B5673" t="s">
        <v>55</v>
      </c>
      <c r="C5673" s="2">
        <f>HYPERLINK("https://sao.dolgi.msk.ru/account/1404293799/", 1404293799)</f>
        <v>1404293799</v>
      </c>
      <c r="D5673">
        <v>-2165.58</v>
      </c>
    </row>
    <row r="5674" spans="1:4" hidden="1" x14ac:dyDescent="0.25">
      <c r="A5674" t="s">
        <v>666</v>
      </c>
      <c r="B5674" t="s">
        <v>56</v>
      </c>
      <c r="C5674" s="2">
        <f>HYPERLINK("https://sao.dolgi.msk.ru/account/1404113604/", 1404113604)</f>
        <v>1404113604</v>
      </c>
      <c r="D5674">
        <v>0</v>
      </c>
    </row>
    <row r="5675" spans="1:4" hidden="1" x14ac:dyDescent="0.25">
      <c r="A5675" t="s">
        <v>666</v>
      </c>
      <c r="B5675" t="s">
        <v>57</v>
      </c>
      <c r="C5675" s="2">
        <f>HYPERLINK("https://sao.dolgi.msk.ru/account/1404113073/", 1404113073)</f>
        <v>1404113073</v>
      </c>
      <c r="D5675">
        <v>-15403.58</v>
      </c>
    </row>
    <row r="5676" spans="1:4" hidden="1" x14ac:dyDescent="0.25">
      <c r="A5676" t="s">
        <v>666</v>
      </c>
      <c r="B5676" t="s">
        <v>58</v>
      </c>
      <c r="C5676" s="2">
        <f>HYPERLINK("https://sao.dolgi.msk.ru/account/1404113081/", 1404113081)</f>
        <v>1404113081</v>
      </c>
      <c r="D5676">
        <v>-6399.9</v>
      </c>
    </row>
    <row r="5677" spans="1:4" hidden="1" x14ac:dyDescent="0.25">
      <c r="A5677" t="s">
        <v>666</v>
      </c>
      <c r="B5677" t="s">
        <v>59</v>
      </c>
      <c r="C5677" s="2">
        <f>HYPERLINK("https://sao.dolgi.msk.ru/account/1404114404/", 1404114404)</f>
        <v>1404114404</v>
      </c>
      <c r="D5677">
        <v>-6831.06</v>
      </c>
    </row>
    <row r="5678" spans="1:4" hidden="1" x14ac:dyDescent="0.25">
      <c r="A5678" t="s">
        <v>666</v>
      </c>
      <c r="B5678" t="s">
        <v>60</v>
      </c>
      <c r="C5678" s="2">
        <f>HYPERLINK("https://sao.dolgi.msk.ru/account/1404113284/", 1404113284)</f>
        <v>1404113284</v>
      </c>
      <c r="D5678">
        <v>-9755.34</v>
      </c>
    </row>
    <row r="5679" spans="1:4" hidden="1" x14ac:dyDescent="0.25">
      <c r="A5679" t="s">
        <v>666</v>
      </c>
      <c r="B5679" t="s">
        <v>61</v>
      </c>
      <c r="C5679" s="2">
        <f>HYPERLINK("https://sao.dolgi.msk.ru/account/1404113954/", 1404113954)</f>
        <v>1404113954</v>
      </c>
      <c r="D5679">
        <v>-8943.15</v>
      </c>
    </row>
    <row r="5680" spans="1:4" hidden="1" x14ac:dyDescent="0.25">
      <c r="A5680" t="s">
        <v>666</v>
      </c>
      <c r="B5680" t="s">
        <v>62</v>
      </c>
      <c r="C5680" s="2">
        <f>HYPERLINK("https://sao.dolgi.msk.ru/account/1404113612/", 1404113612)</f>
        <v>1404113612</v>
      </c>
      <c r="D5680">
        <v>0</v>
      </c>
    </row>
    <row r="5681" spans="1:4" hidden="1" x14ac:dyDescent="0.25">
      <c r="A5681" t="s">
        <v>666</v>
      </c>
      <c r="B5681" t="s">
        <v>63</v>
      </c>
      <c r="C5681" s="2">
        <f>HYPERLINK("https://sao.dolgi.msk.ru/account/1404113292/", 1404113292)</f>
        <v>1404113292</v>
      </c>
      <c r="D5681">
        <v>-8482.48</v>
      </c>
    </row>
    <row r="5682" spans="1:4" x14ac:dyDescent="0.25">
      <c r="A5682" t="s">
        <v>666</v>
      </c>
      <c r="B5682" t="s">
        <v>64</v>
      </c>
      <c r="C5682" s="2">
        <f>HYPERLINK("https://sao.dolgi.msk.ru/account/1404114172/", 1404114172)</f>
        <v>1404114172</v>
      </c>
      <c r="D5682">
        <v>7957.06</v>
      </c>
    </row>
    <row r="5683" spans="1:4" hidden="1" x14ac:dyDescent="0.25">
      <c r="A5683" t="s">
        <v>666</v>
      </c>
      <c r="B5683" t="s">
        <v>65</v>
      </c>
      <c r="C5683" s="2">
        <f>HYPERLINK("https://sao.dolgi.msk.ru/account/1404113639/", 1404113639)</f>
        <v>1404113639</v>
      </c>
      <c r="D5683">
        <v>0</v>
      </c>
    </row>
    <row r="5684" spans="1:4" hidden="1" x14ac:dyDescent="0.25">
      <c r="A5684" t="s">
        <v>666</v>
      </c>
      <c r="B5684" t="s">
        <v>66</v>
      </c>
      <c r="C5684" s="2">
        <f>HYPERLINK("https://sao.dolgi.msk.ru/account/1404113794/", 1404113794)</f>
        <v>1404113794</v>
      </c>
      <c r="D5684">
        <v>-234.71</v>
      </c>
    </row>
    <row r="5685" spans="1:4" hidden="1" x14ac:dyDescent="0.25">
      <c r="A5685" t="s">
        <v>666</v>
      </c>
      <c r="B5685" t="s">
        <v>67</v>
      </c>
      <c r="C5685" s="2">
        <f>HYPERLINK("https://sao.dolgi.msk.ru/account/1404113479/", 1404113479)</f>
        <v>1404113479</v>
      </c>
      <c r="D5685">
        <v>-7663.79</v>
      </c>
    </row>
    <row r="5686" spans="1:4" hidden="1" x14ac:dyDescent="0.25">
      <c r="A5686" t="s">
        <v>666</v>
      </c>
      <c r="B5686" t="s">
        <v>68</v>
      </c>
      <c r="C5686" s="2">
        <f>HYPERLINK("https://sao.dolgi.msk.ru/account/1404113962/", 1404113962)</f>
        <v>1404113962</v>
      </c>
      <c r="D5686">
        <v>-5367.56</v>
      </c>
    </row>
    <row r="5687" spans="1:4" x14ac:dyDescent="0.25">
      <c r="A5687" t="s">
        <v>666</v>
      </c>
      <c r="B5687" t="s">
        <v>69</v>
      </c>
      <c r="C5687" s="2">
        <f>HYPERLINK("https://sao.dolgi.msk.ru/account/1404113305/", 1404113305)</f>
        <v>1404113305</v>
      </c>
      <c r="D5687">
        <v>4722.08</v>
      </c>
    </row>
    <row r="5688" spans="1:4" hidden="1" x14ac:dyDescent="0.25">
      <c r="A5688" t="s">
        <v>666</v>
      </c>
      <c r="B5688" t="s">
        <v>70</v>
      </c>
      <c r="C5688" s="2">
        <f>HYPERLINK("https://sao.dolgi.msk.ru/account/1404113487/", 1404113487)</f>
        <v>1404113487</v>
      </c>
      <c r="D5688">
        <v>-5066.74</v>
      </c>
    </row>
    <row r="5689" spans="1:4" hidden="1" x14ac:dyDescent="0.25">
      <c r="A5689" t="s">
        <v>666</v>
      </c>
      <c r="B5689" t="s">
        <v>71</v>
      </c>
      <c r="C5689" s="2">
        <f>HYPERLINK("https://sao.dolgi.msk.ru/account/1404113102/", 1404113102)</f>
        <v>1404113102</v>
      </c>
      <c r="D5689">
        <v>0</v>
      </c>
    </row>
    <row r="5690" spans="1:4" hidden="1" x14ac:dyDescent="0.25">
      <c r="A5690" t="s">
        <v>666</v>
      </c>
      <c r="B5690" t="s">
        <v>72</v>
      </c>
      <c r="C5690" s="2">
        <f>HYPERLINK("https://sao.dolgi.msk.ru/account/1404113807/", 1404113807)</f>
        <v>1404113807</v>
      </c>
      <c r="D5690">
        <v>-7732.61</v>
      </c>
    </row>
    <row r="5691" spans="1:4" hidden="1" x14ac:dyDescent="0.25">
      <c r="A5691" t="s">
        <v>666</v>
      </c>
      <c r="B5691" t="s">
        <v>73</v>
      </c>
      <c r="C5691" s="2">
        <f>HYPERLINK("https://sao.dolgi.msk.ru/account/1404113815/", 1404113815)</f>
        <v>1404113815</v>
      </c>
      <c r="D5691">
        <v>0</v>
      </c>
    </row>
    <row r="5692" spans="1:4" hidden="1" x14ac:dyDescent="0.25">
      <c r="A5692" t="s">
        <v>666</v>
      </c>
      <c r="B5692" t="s">
        <v>74</v>
      </c>
      <c r="C5692" s="2">
        <f>HYPERLINK("https://sao.dolgi.msk.ru/account/1404113823/", 1404113823)</f>
        <v>1404113823</v>
      </c>
      <c r="D5692">
        <v>-3417.95</v>
      </c>
    </row>
    <row r="5693" spans="1:4" hidden="1" x14ac:dyDescent="0.25">
      <c r="A5693" t="s">
        <v>666</v>
      </c>
      <c r="B5693" t="s">
        <v>75</v>
      </c>
      <c r="C5693" s="2">
        <f>HYPERLINK("https://sao.dolgi.msk.ru/account/1404113989/", 1404113989)</f>
        <v>1404113989</v>
      </c>
      <c r="D5693">
        <v>-6585.31</v>
      </c>
    </row>
    <row r="5694" spans="1:4" hidden="1" x14ac:dyDescent="0.25">
      <c r="A5694" t="s">
        <v>666</v>
      </c>
      <c r="B5694" t="s">
        <v>76</v>
      </c>
      <c r="C5694" s="2">
        <f>HYPERLINK("https://sao.dolgi.msk.ru/account/1404114199/", 1404114199)</f>
        <v>1404114199</v>
      </c>
      <c r="D5694">
        <v>-117.96</v>
      </c>
    </row>
    <row r="5695" spans="1:4" hidden="1" x14ac:dyDescent="0.25">
      <c r="A5695" t="s">
        <v>666</v>
      </c>
      <c r="B5695" t="s">
        <v>77</v>
      </c>
      <c r="C5695" s="2">
        <f>HYPERLINK("https://sao.dolgi.msk.ru/account/1404113495/", 1404113495)</f>
        <v>1404113495</v>
      </c>
      <c r="D5695">
        <v>-4725.88</v>
      </c>
    </row>
    <row r="5696" spans="1:4" hidden="1" x14ac:dyDescent="0.25">
      <c r="A5696" t="s">
        <v>666</v>
      </c>
      <c r="B5696" t="s">
        <v>78</v>
      </c>
      <c r="C5696" s="2">
        <f>HYPERLINK("https://sao.dolgi.msk.ru/account/1404114201/", 1404114201)</f>
        <v>1404114201</v>
      </c>
      <c r="D5696">
        <v>0</v>
      </c>
    </row>
    <row r="5697" spans="1:4" x14ac:dyDescent="0.25">
      <c r="A5697" t="s">
        <v>666</v>
      </c>
      <c r="B5697" t="s">
        <v>79</v>
      </c>
      <c r="C5697" s="2">
        <f>HYPERLINK("https://sao.dolgi.msk.ru/account/1404113508/", 1404113508)</f>
        <v>1404113508</v>
      </c>
      <c r="D5697">
        <v>9216.27</v>
      </c>
    </row>
    <row r="5698" spans="1:4" hidden="1" x14ac:dyDescent="0.25">
      <c r="A5698" t="s">
        <v>666</v>
      </c>
      <c r="B5698" t="s">
        <v>80</v>
      </c>
      <c r="C5698" s="2">
        <f>HYPERLINK("https://sao.dolgi.msk.ru/account/1404113137/", 1404113137)</f>
        <v>1404113137</v>
      </c>
      <c r="D5698">
        <v>0</v>
      </c>
    </row>
    <row r="5699" spans="1:4" hidden="1" x14ac:dyDescent="0.25">
      <c r="A5699" t="s">
        <v>666</v>
      </c>
      <c r="B5699" t="s">
        <v>81</v>
      </c>
      <c r="C5699" s="2">
        <f>HYPERLINK("https://sao.dolgi.msk.ru/account/1404113313/", 1404113313)</f>
        <v>1404113313</v>
      </c>
      <c r="D5699">
        <v>-7438.22</v>
      </c>
    </row>
    <row r="5700" spans="1:4" hidden="1" x14ac:dyDescent="0.25">
      <c r="A5700" t="s">
        <v>666</v>
      </c>
      <c r="B5700" t="s">
        <v>82</v>
      </c>
      <c r="C5700" s="2">
        <f>HYPERLINK("https://sao.dolgi.msk.ru/account/1404113516/", 1404113516)</f>
        <v>1404113516</v>
      </c>
      <c r="D5700">
        <v>-6340.13</v>
      </c>
    </row>
    <row r="5701" spans="1:4" hidden="1" x14ac:dyDescent="0.25">
      <c r="A5701" t="s">
        <v>666</v>
      </c>
      <c r="B5701" t="s">
        <v>83</v>
      </c>
      <c r="C5701" s="2">
        <f>HYPERLINK("https://sao.dolgi.msk.ru/account/1404113647/", 1404113647)</f>
        <v>1404113647</v>
      </c>
      <c r="D5701">
        <v>0</v>
      </c>
    </row>
    <row r="5702" spans="1:4" hidden="1" x14ac:dyDescent="0.25">
      <c r="A5702" t="s">
        <v>666</v>
      </c>
      <c r="B5702" t="s">
        <v>84</v>
      </c>
      <c r="C5702" s="2">
        <f>HYPERLINK("https://sao.dolgi.msk.ru/account/1404113145/", 1404113145)</f>
        <v>1404113145</v>
      </c>
      <c r="D5702">
        <v>-1238.32</v>
      </c>
    </row>
    <row r="5703" spans="1:4" hidden="1" x14ac:dyDescent="0.25">
      <c r="A5703" t="s">
        <v>666</v>
      </c>
      <c r="B5703" t="s">
        <v>85</v>
      </c>
      <c r="C5703" s="2">
        <f>HYPERLINK("https://sao.dolgi.msk.ru/account/1404114236/", 1404114236)</f>
        <v>1404114236</v>
      </c>
      <c r="D5703">
        <v>-7737.24</v>
      </c>
    </row>
    <row r="5704" spans="1:4" hidden="1" x14ac:dyDescent="0.25">
      <c r="A5704" t="s">
        <v>666</v>
      </c>
      <c r="B5704" t="s">
        <v>86</v>
      </c>
      <c r="C5704" s="2">
        <f>HYPERLINK("https://sao.dolgi.msk.ru/account/1404114244/", 1404114244)</f>
        <v>1404114244</v>
      </c>
      <c r="D5704">
        <v>0</v>
      </c>
    </row>
    <row r="5705" spans="1:4" hidden="1" x14ac:dyDescent="0.25">
      <c r="A5705" t="s">
        <v>666</v>
      </c>
      <c r="B5705" t="s">
        <v>87</v>
      </c>
      <c r="C5705" s="2">
        <f>HYPERLINK("https://sao.dolgi.msk.ru/account/1404113153/", 1404113153)</f>
        <v>1404113153</v>
      </c>
      <c r="D5705">
        <v>-8889.7800000000007</v>
      </c>
    </row>
    <row r="5706" spans="1:4" hidden="1" x14ac:dyDescent="0.25">
      <c r="A5706" t="s">
        <v>666</v>
      </c>
      <c r="B5706" t="s">
        <v>88</v>
      </c>
      <c r="C5706" s="2">
        <f>HYPERLINK("https://sao.dolgi.msk.ru/account/1404113997/", 1404113997)</f>
        <v>1404113997</v>
      </c>
      <c r="D5706">
        <v>-3521.74</v>
      </c>
    </row>
    <row r="5707" spans="1:4" hidden="1" x14ac:dyDescent="0.25">
      <c r="A5707" t="s">
        <v>666</v>
      </c>
      <c r="B5707" t="s">
        <v>88</v>
      </c>
      <c r="C5707" s="2">
        <f>HYPERLINK("https://sao.dolgi.msk.ru/account/1404114439/", 1404114439)</f>
        <v>1404114439</v>
      </c>
      <c r="D5707">
        <v>-2477.4</v>
      </c>
    </row>
    <row r="5708" spans="1:4" hidden="1" x14ac:dyDescent="0.25">
      <c r="A5708" t="s">
        <v>666</v>
      </c>
      <c r="B5708" t="s">
        <v>89</v>
      </c>
      <c r="C5708" s="2">
        <f>HYPERLINK("https://sao.dolgi.msk.ru/account/1404113161/", 1404113161)</f>
        <v>1404113161</v>
      </c>
      <c r="D5708">
        <v>-13825.48</v>
      </c>
    </row>
    <row r="5709" spans="1:4" hidden="1" x14ac:dyDescent="0.25">
      <c r="A5709" t="s">
        <v>666</v>
      </c>
      <c r="B5709" t="s">
        <v>90</v>
      </c>
      <c r="C5709" s="2">
        <f>HYPERLINK("https://sao.dolgi.msk.ru/account/1404113831/", 1404113831)</f>
        <v>1404113831</v>
      </c>
      <c r="D5709">
        <v>-773.31</v>
      </c>
    </row>
    <row r="5710" spans="1:4" hidden="1" x14ac:dyDescent="0.25">
      <c r="A5710" t="s">
        <v>666</v>
      </c>
      <c r="B5710" t="s">
        <v>91</v>
      </c>
      <c r="C5710" s="2">
        <f>HYPERLINK("https://sao.dolgi.msk.ru/account/1404114252/", 1404114252)</f>
        <v>1404114252</v>
      </c>
      <c r="D5710">
        <v>-5915.99</v>
      </c>
    </row>
    <row r="5711" spans="1:4" hidden="1" x14ac:dyDescent="0.25">
      <c r="A5711" t="s">
        <v>666</v>
      </c>
      <c r="B5711" t="s">
        <v>92</v>
      </c>
      <c r="C5711" s="2">
        <f>HYPERLINK("https://sao.dolgi.msk.ru/account/1404114009/", 1404114009)</f>
        <v>1404114009</v>
      </c>
      <c r="D5711">
        <v>-8374.17</v>
      </c>
    </row>
    <row r="5712" spans="1:4" x14ac:dyDescent="0.25">
      <c r="A5712" t="s">
        <v>666</v>
      </c>
      <c r="B5712" t="s">
        <v>93</v>
      </c>
      <c r="C5712" s="2">
        <f>HYPERLINK("https://sao.dolgi.msk.ru/account/1404113858/", 1404113858)</f>
        <v>1404113858</v>
      </c>
      <c r="D5712">
        <v>13328.78</v>
      </c>
    </row>
    <row r="5713" spans="1:4" hidden="1" x14ac:dyDescent="0.25">
      <c r="A5713" t="s">
        <v>666</v>
      </c>
      <c r="B5713" t="s">
        <v>94</v>
      </c>
      <c r="C5713" s="2">
        <f>HYPERLINK("https://sao.dolgi.msk.ru/account/1404113188/", 1404113188)</f>
        <v>1404113188</v>
      </c>
      <c r="D5713">
        <v>0</v>
      </c>
    </row>
    <row r="5714" spans="1:4" hidden="1" x14ac:dyDescent="0.25">
      <c r="A5714" t="s">
        <v>666</v>
      </c>
      <c r="B5714" t="s">
        <v>95</v>
      </c>
      <c r="C5714" s="2">
        <f>HYPERLINK("https://sao.dolgi.msk.ru/account/1404114447/", 1404114447)</f>
        <v>1404114447</v>
      </c>
      <c r="D5714">
        <v>0</v>
      </c>
    </row>
    <row r="5715" spans="1:4" hidden="1" x14ac:dyDescent="0.25">
      <c r="A5715" t="s">
        <v>666</v>
      </c>
      <c r="B5715" t="s">
        <v>96</v>
      </c>
      <c r="C5715" s="2">
        <f>HYPERLINK("https://sao.dolgi.msk.ru/account/1404113866/", 1404113866)</f>
        <v>1404113866</v>
      </c>
      <c r="D5715">
        <v>-5312.59</v>
      </c>
    </row>
    <row r="5716" spans="1:4" x14ac:dyDescent="0.25">
      <c r="A5716" t="s">
        <v>666</v>
      </c>
      <c r="B5716" t="s">
        <v>97</v>
      </c>
      <c r="C5716" s="2">
        <f>HYPERLINK("https://sao.dolgi.msk.ru/account/1404113663/", 1404113663)</f>
        <v>1404113663</v>
      </c>
      <c r="D5716">
        <v>246170.8</v>
      </c>
    </row>
    <row r="5717" spans="1:4" hidden="1" x14ac:dyDescent="0.25">
      <c r="A5717" t="s">
        <v>666</v>
      </c>
      <c r="B5717" t="s">
        <v>98</v>
      </c>
      <c r="C5717" s="2">
        <f>HYPERLINK("https://sao.dolgi.msk.ru/account/1404114017/", 1404114017)</f>
        <v>1404114017</v>
      </c>
      <c r="D5717">
        <v>-873.96</v>
      </c>
    </row>
    <row r="5718" spans="1:4" hidden="1" x14ac:dyDescent="0.25">
      <c r="A5718" t="s">
        <v>666</v>
      </c>
      <c r="B5718" t="s">
        <v>98</v>
      </c>
      <c r="C5718" s="2">
        <f>HYPERLINK("https://sao.dolgi.msk.ru/account/1404114308/", 1404114308)</f>
        <v>1404114308</v>
      </c>
      <c r="D5718">
        <v>-582.63</v>
      </c>
    </row>
    <row r="5719" spans="1:4" hidden="1" x14ac:dyDescent="0.25">
      <c r="A5719" t="s">
        <v>666</v>
      </c>
      <c r="B5719" t="s">
        <v>99</v>
      </c>
      <c r="C5719" s="2">
        <f>HYPERLINK("https://sao.dolgi.msk.ru/account/1404114279/", 1404114279)</f>
        <v>1404114279</v>
      </c>
      <c r="D5719">
        <v>-8929.57</v>
      </c>
    </row>
    <row r="5720" spans="1:4" hidden="1" x14ac:dyDescent="0.25">
      <c r="A5720" t="s">
        <v>666</v>
      </c>
      <c r="B5720" t="s">
        <v>100</v>
      </c>
      <c r="C5720" s="2">
        <f>HYPERLINK("https://sao.dolgi.msk.ru/account/1404113671/", 1404113671)</f>
        <v>1404113671</v>
      </c>
      <c r="D5720">
        <v>-11270.05</v>
      </c>
    </row>
    <row r="5721" spans="1:4" hidden="1" x14ac:dyDescent="0.25">
      <c r="A5721" t="s">
        <v>666</v>
      </c>
      <c r="B5721" t="s">
        <v>101</v>
      </c>
      <c r="C5721" s="2">
        <f>HYPERLINK("https://sao.dolgi.msk.ru/account/1404114025/", 1404114025)</f>
        <v>1404114025</v>
      </c>
      <c r="D5721">
        <v>-7339.9</v>
      </c>
    </row>
    <row r="5722" spans="1:4" x14ac:dyDescent="0.25">
      <c r="A5722" t="s">
        <v>666</v>
      </c>
      <c r="B5722" t="s">
        <v>102</v>
      </c>
      <c r="C5722" s="2">
        <f>HYPERLINK("https://sao.dolgi.msk.ru/account/1404113698/", 1404113698)</f>
        <v>1404113698</v>
      </c>
      <c r="D5722">
        <v>155832.92000000001</v>
      </c>
    </row>
    <row r="5723" spans="1:4" hidden="1" x14ac:dyDescent="0.25">
      <c r="A5723" t="s">
        <v>666</v>
      </c>
      <c r="B5723" t="s">
        <v>103</v>
      </c>
      <c r="C5723" s="2">
        <f>HYPERLINK("https://sao.dolgi.msk.ru/account/1404113874/", 1404113874)</f>
        <v>1404113874</v>
      </c>
      <c r="D5723">
        <v>0</v>
      </c>
    </row>
    <row r="5724" spans="1:4" hidden="1" x14ac:dyDescent="0.25">
      <c r="A5724" t="s">
        <v>666</v>
      </c>
      <c r="B5724" t="s">
        <v>104</v>
      </c>
      <c r="C5724" s="2">
        <f>HYPERLINK("https://sao.dolgi.msk.ru/account/1404112943/", 1404112943)</f>
        <v>1404112943</v>
      </c>
      <c r="D5724">
        <v>-8277.4599999999991</v>
      </c>
    </row>
    <row r="5725" spans="1:4" hidden="1" x14ac:dyDescent="0.25">
      <c r="A5725" t="s">
        <v>666</v>
      </c>
      <c r="B5725" t="s">
        <v>105</v>
      </c>
      <c r="C5725" s="2">
        <f>HYPERLINK("https://sao.dolgi.msk.ru/account/1404114041/", 1404114041)</f>
        <v>1404114041</v>
      </c>
      <c r="D5725">
        <v>-798.07</v>
      </c>
    </row>
    <row r="5726" spans="1:4" hidden="1" x14ac:dyDescent="0.25">
      <c r="A5726" t="s">
        <v>666</v>
      </c>
      <c r="B5726" t="s">
        <v>106</v>
      </c>
      <c r="C5726" s="2">
        <f>HYPERLINK("https://sao.dolgi.msk.ru/account/1404113882/", 1404113882)</f>
        <v>1404113882</v>
      </c>
      <c r="D5726">
        <v>0</v>
      </c>
    </row>
    <row r="5727" spans="1:4" hidden="1" x14ac:dyDescent="0.25">
      <c r="A5727" t="s">
        <v>666</v>
      </c>
      <c r="B5727" t="s">
        <v>107</v>
      </c>
      <c r="C5727" s="2">
        <f>HYPERLINK("https://sao.dolgi.msk.ru/account/1404113348/", 1404113348)</f>
        <v>1404113348</v>
      </c>
      <c r="D5727">
        <v>-3713.72</v>
      </c>
    </row>
    <row r="5728" spans="1:4" x14ac:dyDescent="0.25">
      <c r="A5728" t="s">
        <v>666</v>
      </c>
      <c r="B5728" t="s">
        <v>108</v>
      </c>
      <c r="C5728" s="2">
        <f>HYPERLINK("https://sao.dolgi.msk.ru/account/1404112951/", 1404112951)</f>
        <v>1404112951</v>
      </c>
      <c r="D5728">
        <v>4380.71</v>
      </c>
    </row>
    <row r="5729" spans="1:4" x14ac:dyDescent="0.25">
      <c r="A5729" t="s">
        <v>666</v>
      </c>
      <c r="B5729" t="s">
        <v>108</v>
      </c>
      <c r="C5729" s="2">
        <f>HYPERLINK("https://sao.dolgi.msk.ru/account/1404114068/", 1404114068)</f>
        <v>1404114068</v>
      </c>
      <c r="D5729">
        <v>1727.71</v>
      </c>
    </row>
    <row r="5730" spans="1:4" hidden="1" x14ac:dyDescent="0.25">
      <c r="A5730" t="s">
        <v>666</v>
      </c>
      <c r="B5730" t="s">
        <v>108</v>
      </c>
      <c r="C5730" s="2">
        <f>HYPERLINK("https://sao.dolgi.msk.ru/account/1404114316/", 1404114316)</f>
        <v>1404114316</v>
      </c>
      <c r="D5730">
        <v>-3940.82</v>
      </c>
    </row>
    <row r="5731" spans="1:4" x14ac:dyDescent="0.25">
      <c r="A5731" t="s">
        <v>666</v>
      </c>
      <c r="B5731" t="s">
        <v>109</v>
      </c>
      <c r="C5731" s="2">
        <f>HYPERLINK("https://sao.dolgi.msk.ru/account/1404114076/", 1404114076)</f>
        <v>1404114076</v>
      </c>
      <c r="D5731">
        <v>2192.41</v>
      </c>
    </row>
    <row r="5732" spans="1:4" x14ac:dyDescent="0.25">
      <c r="A5732" t="s">
        <v>666</v>
      </c>
      <c r="B5732" t="s">
        <v>110</v>
      </c>
      <c r="C5732" s="2">
        <f>HYPERLINK("https://sao.dolgi.msk.ru/account/1404113903/", 1404113903)</f>
        <v>1404113903</v>
      </c>
      <c r="D5732">
        <v>1653.67</v>
      </c>
    </row>
    <row r="5733" spans="1:4" hidden="1" x14ac:dyDescent="0.25">
      <c r="A5733" t="s">
        <v>666</v>
      </c>
      <c r="B5733" t="s">
        <v>111</v>
      </c>
      <c r="C5733" s="2">
        <f>HYPERLINK("https://sao.dolgi.msk.ru/account/1404114324/", 1404114324)</f>
        <v>1404114324</v>
      </c>
      <c r="D5733">
        <v>-2896.79</v>
      </c>
    </row>
    <row r="5734" spans="1:4" hidden="1" x14ac:dyDescent="0.25">
      <c r="A5734" t="s">
        <v>666</v>
      </c>
      <c r="B5734" t="s">
        <v>112</v>
      </c>
      <c r="C5734" s="2">
        <f>HYPERLINK("https://sao.dolgi.msk.ru/account/1404114084/", 1404114084)</f>
        <v>1404114084</v>
      </c>
      <c r="D5734">
        <v>-15992.62</v>
      </c>
    </row>
    <row r="5735" spans="1:4" hidden="1" x14ac:dyDescent="0.25">
      <c r="A5735" t="s">
        <v>666</v>
      </c>
      <c r="B5735" t="s">
        <v>113</v>
      </c>
      <c r="C5735" s="2">
        <f>HYPERLINK("https://sao.dolgi.msk.ru/account/1404112978/", 1404112978)</f>
        <v>1404112978</v>
      </c>
      <c r="D5735">
        <v>-4686.99</v>
      </c>
    </row>
    <row r="5736" spans="1:4" hidden="1" x14ac:dyDescent="0.25">
      <c r="A5736" t="s">
        <v>666</v>
      </c>
      <c r="B5736" t="s">
        <v>114</v>
      </c>
      <c r="C5736" s="2">
        <f>HYPERLINK("https://sao.dolgi.msk.ru/account/1404113217/", 1404113217)</f>
        <v>1404113217</v>
      </c>
      <c r="D5736">
        <v>-5958.43</v>
      </c>
    </row>
    <row r="5737" spans="1:4" hidden="1" x14ac:dyDescent="0.25">
      <c r="A5737" t="s">
        <v>666</v>
      </c>
      <c r="B5737" t="s">
        <v>115</v>
      </c>
      <c r="C5737" s="2">
        <f>HYPERLINK("https://sao.dolgi.msk.ru/account/1404113356/", 1404113356)</f>
        <v>1404113356</v>
      </c>
      <c r="D5737">
        <v>-112.32</v>
      </c>
    </row>
    <row r="5738" spans="1:4" hidden="1" x14ac:dyDescent="0.25">
      <c r="A5738" t="s">
        <v>666</v>
      </c>
      <c r="B5738" t="s">
        <v>115</v>
      </c>
      <c r="C5738" s="2">
        <f>HYPERLINK("https://sao.dolgi.msk.ru/account/1404113719/", 1404113719)</f>
        <v>1404113719</v>
      </c>
      <c r="D5738">
        <v>-2725.1</v>
      </c>
    </row>
    <row r="5739" spans="1:4" hidden="1" x14ac:dyDescent="0.25">
      <c r="A5739" t="s">
        <v>666</v>
      </c>
      <c r="B5739" t="s">
        <v>116</v>
      </c>
      <c r="C5739" s="2">
        <f>HYPERLINK("https://sao.dolgi.msk.ru/account/1404112994/", 1404112994)</f>
        <v>1404112994</v>
      </c>
      <c r="D5739">
        <v>-10154.89</v>
      </c>
    </row>
    <row r="5740" spans="1:4" hidden="1" x14ac:dyDescent="0.25">
      <c r="A5740" t="s">
        <v>666</v>
      </c>
      <c r="B5740" t="s">
        <v>117</v>
      </c>
      <c r="C5740" s="2">
        <f>HYPERLINK("https://sao.dolgi.msk.ru/account/1404113364/", 1404113364)</f>
        <v>1404113364</v>
      </c>
      <c r="D5740">
        <v>-5340.43</v>
      </c>
    </row>
    <row r="5741" spans="1:4" hidden="1" x14ac:dyDescent="0.25">
      <c r="A5741" t="s">
        <v>666</v>
      </c>
      <c r="B5741" t="s">
        <v>118</v>
      </c>
      <c r="C5741" s="2">
        <f>HYPERLINK("https://sao.dolgi.msk.ru/account/1404113225/", 1404113225)</f>
        <v>1404113225</v>
      </c>
      <c r="D5741">
        <v>-12012.51</v>
      </c>
    </row>
    <row r="5742" spans="1:4" hidden="1" x14ac:dyDescent="0.25">
      <c r="A5742" t="s">
        <v>666</v>
      </c>
      <c r="B5742" t="s">
        <v>119</v>
      </c>
      <c r="C5742" s="2">
        <f>HYPERLINK("https://sao.dolgi.msk.ru/account/1404113524/", 1404113524)</f>
        <v>1404113524</v>
      </c>
      <c r="D5742">
        <v>-4709.2700000000004</v>
      </c>
    </row>
    <row r="5743" spans="1:4" x14ac:dyDescent="0.25">
      <c r="A5743" t="s">
        <v>667</v>
      </c>
      <c r="B5743" t="s">
        <v>120</v>
      </c>
      <c r="C5743" s="2">
        <f>HYPERLINK("https://sao.dolgi.msk.ru/account/1404115319/", 1404115319)</f>
        <v>1404115319</v>
      </c>
      <c r="D5743">
        <v>4483.62</v>
      </c>
    </row>
    <row r="5744" spans="1:4" hidden="1" x14ac:dyDescent="0.25">
      <c r="A5744" t="s">
        <v>667</v>
      </c>
      <c r="B5744" t="s">
        <v>120</v>
      </c>
      <c r="C5744" s="2">
        <f>HYPERLINK("https://sao.dolgi.msk.ru/account/1404294097/", 1404294097)</f>
        <v>1404294097</v>
      </c>
      <c r="D5744">
        <v>0</v>
      </c>
    </row>
    <row r="5745" spans="1:4" hidden="1" x14ac:dyDescent="0.25">
      <c r="A5745" t="s">
        <v>667</v>
      </c>
      <c r="B5745" t="s">
        <v>121</v>
      </c>
      <c r="C5745" s="2">
        <f>HYPERLINK("https://sao.dolgi.msk.ru/account/1404115327/", 1404115327)</f>
        <v>1404115327</v>
      </c>
      <c r="D5745">
        <v>-3078.61</v>
      </c>
    </row>
    <row r="5746" spans="1:4" hidden="1" x14ac:dyDescent="0.25">
      <c r="A5746" t="s">
        <v>667</v>
      </c>
      <c r="B5746" t="s">
        <v>122</v>
      </c>
      <c r="C5746" s="2">
        <f>HYPERLINK("https://sao.dolgi.msk.ru/account/1404114973/", 1404114973)</f>
        <v>1404114973</v>
      </c>
      <c r="D5746">
        <v>0</v>
      </c>
    </row>
    <row r="5747" spans="1:4" hidden="1" x14ac:dyDescent="0.25">
      <c r="A5747" t="s">
        <v>667</v>
      </c>
      <c r="B5747" t="s">
        <v>123</v>
      </c>
      <c r="C5747" s="2">
        <f>HYPERLINK("https://sao.dolgi.msk.ru/account/1404115335/", 1404115335)</f>
        <v>1404115335</v>
      </c>
      <c r="D5747">
        <v>-11519.67</v>
      </c>
    </row>
    <row r="5748" spans="1:4" x14ac:dyDescent="0.25">
      <c r="A5748" t="s">
        <v>667</v>
      </c>
      <c r="B5748" t="s">
        <v>124</v>
      </c>
      <c r="C5748" s="2">
        <f>HYPERLINK("https://sao.dolgi.msk.ru/account/1404114455/", 1404114455)</f>
        <v>1404114455</v>
      </c>
      <c r="D5748">
        <v>6398.27</v>
      </c>
    </row>
    <row r="5749" spans="1:4" hidden="1" x14ac:dyDescent="0.25">
      <c r="A5749" t="s">
        <v>667</v>
      </c>
      <c r="B5749" t="s">
        <v>125</v>
      </c>
      <c r="C5749" s="2">
        <f>HYPERLINK("https://sao.dolgi.msk.ru/account/1404114586/", 1404114586)</f>
        <v>1404114586</v>
      </c>
      <c r="D5749">
        <v>-3348.28</v>
      </c>
    </row>
    <row r="5750" spans="1:4" x14ac:dyDescent="0.25">
      <c r="A5750" t="s">
        <v>667</v>
      </c>
      <c r="B5750" t="s">
        <v>126</v>
      </c>
      <c r="C5750" s="2">
        <f>HYPERLINK("https://sao.dolgi.msk.ru/account/1404114877/", 1404114877)</f>
        <v>1404114877</v>
      </c>
      <c r="D5750">
        <v>7222.92</v>
      </c>
    </row>
    <row r="5751" spans="1:4" hidden="1" x14ac:dyDescent="0.25">
      <c r="A5751" t="s">
        <v>667</v>
      </c>
      <c r="B5751" t="s">
        <v>127</v>
      </c>
      <c r="C5751" s="2">
        <f>HYPERLINK("https://sao.dolgi.msk.ru/account/1404114594/", 1404114594)</f>
        <v>1404114594</v>
      </c>
      <c r="D5751">
        <v>-3232.72</v>
      </c>
    </row>
    <row r="5752" spans="1:4" hidden="1" x14ac:dyDescent="0.25">
      <c r="A5752" t="s">
        <v>667</v>
      </c>
      <c r="B5752" t="s">
        <v>128</v>
      </c>
      <c r="C5752" s="2">
        <f>HYPERLINK("https://sao.dolgi.msk.ru/account/1404114826/", 1404114826)</f>
        <v>1404114826</v>
      </c>
      <c r="D5752">
        <v>-3726.33</v>
      </c>
    </row>
    <row r="5753" spans="1:4" hidden="1" x14ac:dyDescent="0.25">
      <c r="A5753" t="s">
        <v>667</v>
      </c>
      <c r="B5753" t="s">
        <v>129</v>
      </c>
      <c r="C5753" s="2">
        <f>HYPERLINK("https://sao.dolgi.msk.ru/account/1404114746/", 1404114746)</f>
        <v>1404114746</v>
      </c>
      <c r="D5753">
        <v>-6664.18</v>
      </c>
    </row>
    <row r="5754" spans="1:4" hidden="1" x14ac:dyDescent="0.25">
      <c r="A5754" t="s">
        <v>667</v>
      </c>
      <c r="B5754" t="s">
        <v>130</v>
      </c>
      <c r="C5754" s="2">
        <f>HYPERLINK("https://sao.dolgi.msk.ru/account/1404115343/", 1404115343)</f>
        <v>1404115343</v>
      </c>
      <c r="D5754">
        <v>-522.5</v>
      </c>
    </row>
    <row r="5755" spans="1:4" x14ac:dyDescent="0.25">
      <c r="A5755" t="s">
        <v>667</v>
      </c>
      <c r="B5755" t="s">
        <v>131</v>
      </c>
      <c r="C5755" s="2">
        <f>HYPERLINK("https://sao.dolgi.msk.ru/account/1404114981/", 1404114981)</f>
        <v>1404114981</v>
      </c>
      <c r="D5755">
        <v>484.5</v>
      </c>
    </row>
    <row r="5756" spans="1:4" hidden="1" x14ac:dyDescent="0.25">
      <c r="A5756" t="s">
        <v>667</v>
      </c>
      <c r="B5756" t="s">
        <v>132</v>
      </c>
      <c r="C5756" s="2">
        <f>HYPERLINK("https://sao.dolgi.msk.ru/account/1404115132/", 1404115132)</f>
        <v>1404115132</v>
      </c>
      <c r="D5756">
        <v>-3707.97</v>
      </c>
    </row>
    <row r="5757" spans="1:4" hidden="1" x14ac:dyDescent="0.25">
      <c r="A5757" t="s">
        <v>667</v>
      </c>
      <c r="B5757" t="s">
        <v>133</v>
      </c>
      <c r="C5757" s="2">
        <f>HYPERLINK("https://sao.dolgi.msk.ru/account/1404115001/", 1404115001)</f>
        <v>1404115001</v>
      </c>
      <c r="D5757">
        <v>-2399.1</v>
      </c>
    </row>
    <row r="5758" spans="1:4" hidden="1" x14ac:dyDescent="0.25">
      <c r="A5758" t="s">
        <v>667</v>
      </c>
      <c r="B5758" t="s">
        <v>134</v>
      </c>
      <c r="C5758" s="2">
        <f>HYPERLINK("https://sao.dolgi.msk.ru/account/1404114463/", 1404114463)</f>
        <v>1404114463</v>
      </c>
      <c r="D5758">
        <v>-6795.46</v>
      </c>
    </row>
    <row r="5759" spans="1:4" hidden="1" x14ac:dyDescent="0.25">
      <c r="A5759" t="s">
        <v>667</v>
      </c>
      <c r="B5759" t="s">
        <v>135</v>
      </c>
      <c r="C5759" s="2">
        <f>HYPERLINK("https://sao.dolgi.msk.ru/account/1404114754/", 1404114754)</f>
        <v>1404114754</v>
      </c>
      <c r="D5759">
        <v>-1215</v>
      </c>
    </row>
    <row r="5760" spans="1:4" x14ac:dyDescent="0.25">
      <c r="A5760" t="s">
        <v>667</v>
      </c>
      <c r="B5760" t="s">
        <v>136</v>
      </c>
      <c r="C5760" s="2">
        <f>HYPERLINK("https://sao.dolgi.msk.ru/account/1404114885/", 1404114885)</f>
        <v>1404114885</v>
      </c>
      <c r="D5760">
        <v>152.94</v>
      </c>
    </row>
    <row r="5761" spans="1:4" x14ac:dyDescent="0.25">
      <c r="A5761" t="s">
        <v>667</v>
      </c>
      <c r="B5761" t="s">
        <v>136</v>
      </c>
      <c r="C5761" s="2">
        <f>HYPERLINK("https://sao.dolgi.msk.ru/account/1404115159/", 1404115159)</f>
        <v>1404115159</v>
      </c>
      <c r="D5761">
        <v>82.71</v>
      </c>
    </row>
    <row r="5762" spans="1:4" x14ac:dyDescent="0.25">
      <c r="A5762" t="s">
        <v>667</v>
      </c>
      <c r="B5762" t="s">
        <v>137</v>
      </c>
      <c r="C5762" s="2">
        <f>HYPERLINK("https://sao.dolgi.msk.ru/account/1404115167/", 1404115167)</f>
        <v>1404115167</v>
      </c>
      <c r="D5762">
        <v>175671.42</v>
      </c>
    </row>
    <row r="5763" spans="1:4" x14ac:dyDescent="0.25">
      <c r="A5763" t="s">
        <v>667</v>
      </c>
      <c r="B5763" t="s">
        <v>138</v>
      </c>
      <c r="C5763" s="2">
        <f>HYPERLINK("https://sao.dolgi.msk.ru/account/1404115175/", 1404115175)</f>
        <v>1404115175</v>
      </c>
      <c r="D5763">
        <v>6556.57</v>
      </c>
    </row>
    <row r="5764" spans="1:4" hidden="1" x14ac:dyDescent="0.25">
      <c r="A5764" t="s">
        <v>667</v>
      </c>
      <c r="B5764" t="s">
        <v>139</v>
      </c>
      <c r="C5764" s="2">
        <f>HYPERLINK("https://sao.dolgi.msk.ru/account/1404115351/", 1404115351)</f>
        <v>1404115351</v>
      </c>
      <c r="D5764">
        <v>-7068.58</v>
      </c>
    </row>
    <row r="5765" spans="1:4" hidden="1" x14ac:dyDescent="0.25">
      <c r="A5765" t="s">
        <v>667</v>
      </c>
      <c r="B5765" t="s">
        <v>140</v>
      </c>
      <c r="C5765" s="2">
        <f>HYPERLINK("https://sao.dolgi.msk.ru/account/1404114893/", 1404114893)</f>
        <v>1404114893</v>
      </c>
      <c r="D5765">
        <v>-2867.61</v>
      </c>
    </row>
    <row r="5766" spans="1:4" hidden="1" x14ac:dyDescent="0.25">
      <c r="A5766" t="s">
        <v>667</v>
      </c>
      <c r="B5766" t="s">
        <v>141</v>
      </c>
      <c r="C5766" s="2">
        <f>HYPERLINK("https://sao.dolgi.msk.ru/account/1404114471/", 1404114471)</f>
        <v>1404114471</v>
      </c>
      <c r="D5766">
        <v>-2848.53</v>
      </c>
    </row>
    <row r="5767" spans="1:4" x14ac:dyDescent="0.25">
      <c r="A5767" t="s">
        <v>667</v>
      </c>
      <c r="B5767" t="s">
        <v>142</v>
      </c>
      <c r="C5767" s="2">
        <f>HYPERLINK("https://sao.dolgi.msk.ru/account/1404115183/", 1404115183)</f>
        <v>1404115183</v>
      </c>
      <c r="D5767">
        <v>5192.93</v>
      </c>
    </row>
    <row r="5768" spans="1:4" hidden="1" x14ac:dyDescent="0.25">
      <c r="A5768" t="s">
        <v>667</v>
      </c>
      <c r="B5768" t="s">
        <v>143</v>
      </c>
      <c r="C5768" s="2">
        <f>HYPERLINK("https://sao.dolgi.msk.ru/account/1404115378/", 1404115378)</f>
        <v>1404115378</v>
      </c>
      <c r="D5768">
        <v>0</v>
      </c>
    </row>
    <row r="5769" spans="1:4" hidden="1" x14ac:dyDescent="0.25">
      <c r="A5769" t="s">
        <v>667</v>
      </c>
      <c r="B5769" t="s">
        <v>144</v>
      </c>
      <c r="C5769" s="2">
        <f>HYPERLINK("https://sao.dolgi.msk.ru/account/1404115028/", 1404115028)</f>
        <v>1404115028</v>
      </c>
      <c r="D5769">
        <v>-4365.5200000000004</v>
      </c>
    </row>
    <row r="5770" spans="1:4" x14ac:dyDescent="0.25">
      <c r="A5770" t="s">
        <v>667</v>
      </c>
      <c r="B5770" t="s">
        <v>145</v>
      </c>
      <c r="C5770" s="2">
        <f>HYPERLINK("https://sao.dolgi.msk.ru/account/1404114906/", 1404114906)</f>
        <v>1404114906</v>
      </c>
      <c r="D5770">
        <v>118694.78</v>
      </c>
    </row>
    <row r="5771" spans="1:4" hidden="1" x14ac:dyDescent="0.25">
      <c r="A5771" t="s">
        <v>667</v>
      </c>
      <c r="B5771" t="s">
        <v>146</v>
      </c>
      <c r="C5771" s="2">
        <f>HYPERLINK("https://sao.dolgi.msk.ru/account/1404115386/", 1404115386)</f>
        <v>1404115386</v>
      </c>
      <c r="D5771">
        <v>-2025.82</v>
      </c>
    </row>
    <row r="5772" spans="1:4" hidden="1" x14ac:dyDescent="0.25">
      <c r="A5772" t="s">
        <v>667</v>
      </c>
      <c r="B5772" t="s">
        <v>147</v>
      </c>
      <c r="C5772" s="2">
        <f>HYPERLINK("https://sao.dolgi.msk.ru/account/1404114607/", 1404114607)</f>
        <v>1404114607</v>
      </c>
      <c r="D5772">
        <v>-4562.47</v>
      </c>
    </row>
    <row r="5773" spans="1:4" hidden="1" x14ac:dyDescent="0.25">
      <c r="A5773" t="s">
        <v>667</v>
      </c>
      <c r="B5773" t="s">
        <v>148</v>
      </c>
      <c r="C5773" s="2">
        <f>HYPERLINK("https://sao.dolgi.msk.ru/account/1404114498/", 1404114498)</f>
        <v>1404114498</v>
      </c>
      <c r="D5773">
        <v>-5498.19</v>
      </c>
    </row>
    <row r="5774" spans="1:4" x14ac:dyDescent="0.25">
      <c r="A5774" t="s">
        <v>667</v>
      </c>
      <c r="B5774" t="s">
        <v>149</v>
      </c>
      <c r="C5774" s="2">
        <f>HYPERLINK("https://sao.dolgi.msk.ru/account/1404114519/", 1404114519)</f>
        <v>1404114519</v>
      </c>
      <c r="D5774">
        <v>1295.8</v>
      </c>
    </row>
    <row r="5775" spans="1:4" hidden="1" x14ac:dyDescent="0.25">
      <c r="A5775" t="s">
        <v>667</v>
      </c>
      <c r="B5775" t="s">
        <v>150</v>
      </c>
      <c r="C5775" s="2">
        <f>HYPERLINK("https://sao.dolgi.msk.ru/account/1404114914/", 1404114914)</f>
        <v>1404114914</v>
      </c>
      <c r="D5775">
        <v>-4781</v>
      </c>
    </row>
    <row r="5776" spans="1:4" hidden="1" x14ac:dyDescent="0.25">
      <c r="A5776" t="s">
        <v>667</v>
      </c>
      <c r="B5776" t="s">
        <v>151</v>
      </c>
      <c r="C5776" s="2">
        <f>HYPERLINK("https://sao.dolgi.msk.ru/account/1404115394/", 1404115394)</f>
        <v>1404115394</v>
      </c>
      <c r="D5776">
        <v>-1629.31</v>
      </c>
    </row>
    <row r="5777" spans="1:4" x14ac:dyDescent="0.25">
      <c r="A5777" t="s">
        <v>667</v>
      </c>
      <c r="B5777" t="s">
        <v>152</v>
      </c>
      <c r="C5777" s="2">
        <f>HYPERLINK("https://sao.dolgi.msk.ru/account/1404115036/", 1404115036)</f>
        <v>1404115036</v>
      </c>
      <c r="D5777">
        <v>483</v>
      </c>
    </row>
    <row r="5778" spans="1:4" x14ac:dyDescent="0.25">
      <c r="A5778" t="s">
        <v>667</v>
      </c>
      <c r="B5778" t="s">
        <v>153</v>
      </c>
      <c r="C5778" s="2">
        <f>HYPERLINK("https://sao.dolgi.msk.ru/account/1404114762/", 1404114762)</f>
        <v>1404114762</v>
      </c>
      <c r="D5778">
        <v>627.29999999999995</v>
      </c>
    </row>
    <row r="5779" spans="1:4" hidden="1" x14ac:dyDescent="0.25">
      <c r="A5779" t="s">
        <v>667</v>
      </c>
      <c r="B5779" t="s">
        <v>154</v>
      </c>
      <c r="C5779" s="2">
        <f>HYPERLINK("https://sao.dolgi.msk.ru/account/1404115191/", 1404115191)</f>
        <v>1404115191</v>
      </c>
      <c r="D5779">
        <v>-12849.38</v>
      </c>
    </row>
    <row r="5780" spans="1:4" hidden="1" x14ac:dyDescent="0.25">
      <c r="A5780" t="s">
        <v>667</v>
      </c>
      <c r="B5780" t="s">
        <v>155</v>
      </c>
      <c r="C5780" s="2">
        <f>HYPERLINK("https://sao.dolgi.msk.ru/account/1404114834/", 1404114834)</f>
        <v>1404114834</v>
      </c>
      <c r="D5780">
        <v>-716.68</v>
      </c>
    </row>
    <row r="5781" spans="1:4" x14ac:dyDescent="0.25">
      <c r="A5781" t="s">
        <v>667</v>
      </c>
      <c r="B5781" t="s">
        <v>156</v>
      </c>
      <c r="C5781" s="2">
        <f>HYPERLINK("https://sao.dolgi.msk.ru/account/1404115204/", 1404115204)</f>
        <v>1404115204</v>
      </c>
      <c r="D5781">
        <v>278.8</v>
      </c>
    </row>
    <row r="5782" spans="1:4" hidden="1" x14ac:dyDescent="0.25">
      <c r="A5782" t="s">
        <v>667</v>
      </c>
      <c r="B5782" t="s">
        <v>157</v>
      </c>
      <c r="C5782" s="2">
        <f>HYPERLINK("https://sao.dolgi.msk.ru/account/1404114615/", 1404114615)</f>
        <v>1404114615</v>
      </c>
      <c r="D5782">
        <v>-6509.9</v>
      </c>
    </row>
    <row r="5783" spans="1:4" hidden="1" x14ac:dyDescent="0.25">
      <c r="A5783" t="s">
        <v>667</v>
      </c>
      <c r="B5783" t="s">
        <v>158</v>
      </c>
      <c r="C5783" s="2">
        <f>HYPERLINK("https://sao.dolgi.msk.ru/account/1404114789/", 1404114789)</f>
        <v>1404114789</v>
      </c>
      <c r="D5783">
        <v>-3968.99</v>
      </c>
    </row>
    <row r="5784" spans="1:4" hidden="1" x14ac:dyDescent="0.25">
      <c r="A5784" t="s">
        <v>667</v>
      </c>
      <c r="B5784" t="s">
        <v>159</v>
      </c>
      <c r="C5784" s="2">
        <f>HYPERLINK("https://sao.dolgi.msk.ru/account/1404115407/", 1404115407)</f>
        <v>1404115407</v>
      </c>
      <c r="D5784">
        <v>0</v>
      </c>
    </row>
    <row r="5785" spans="1:4" hidden="1" x14ac:dyDescent="0.25">
      <c r="A5785" t="s">
        <v>667</v>
      </c>
      <c r="B5785" t="s">
        <v>160</v>
      </c>
      <c r="C5785" s="2">
        <f>HYPERLINK("https://sao.dolgi.msk.ru/account/1404115212/", 1404115212)</f>
        <v>1404115212</v>
      </c>
      <c r="D5785">
        <v>-99.12</v>
      </c>
    </row>
    <row r="5786" spans="1:4" hidden="1" x14ac:dyDescent="0.25">
      <c r="A5786" t="s">
        <v>667</v>
      </c>
      <c r="B5786" t="s">
        <v>161</v>
      </c>
      <c r="C5786" s="2">
        <f>HYPERLINK("https://sao.dolgi.msk.ru/account/1404115044/", 1404115044)</f>
        <v>1404115044</v>
      </c>
      <c r="D5786">
        <v>-8330.89</v>
      </c>
    </row>
    <row r="5787" spans="1:4" hidden="1" x14ac:dyDescent="0.25">
      <c r="A5787" t="s">
        <v>667</v>
      </c>
      <c r="B5787" t="s">
        <v>162</v>
      </c>
      <c r="C5787" s="2">
        <f>HYPERLINK("https://sao.dolgi.msk.ru/account/1404114623/", 1404114623)</f>
        <v>1404114623</v>
      </c>
      <c r="D5787">
        <v>-1373.7</v>
      </c>
    </row>
    <row r="5788" spans="1:4" hidden="1" x14ac:dyDescent="0.25">
      <c r="A5788" t="s">
        <v>667</v>
      </c>
      <c r="B5788" t="s">
        <v>163</v>
      </c>
      <c r="C5788" s="2">
        <f>HYPERLINK("https://sao.dolgi.msk.ru/account/1404114631/", 1404114631)</f>
        <v>1404114631</v>
      </c>
      <c r="D5788">
        <v>0</v>
      </c>
    </row>
    <row r="5789" spans="1:4" hidden="1" x14ac:dyDescent="0.25">
      <c r="A5789" t="s">
        <v>667</v>
      </c>
      <c r="B5789" t="s">
        <v>164</v>
      </c>
      <c r="C5789" s="2">
        <f>HYPERLINK("https://sao.dolgi.msk.ru/account/1404115052/", 1404115052)</f>
        <v>1404115052</v>
      </c>
      <c r="D5789">
        <v>0</v>
      </c>
    </row>
    <row r="5790" spans="1:4" hidden="1" x14ac:dyDescent="0.25">
      <c r="A5790" t="s">
        <v>667</v>
      </c>
      <c r="B5790" t="s">
        <v>165</v>
      </c>
      <c r="C5790" s="2">
        <f>HYPERLINK("https://sao.dolgi.msk.ru/account/1404114797/", 1404114797)</f>
        <v>1404114797</v>
      </c>
      <c r="D5790">
        <v>-4219.05</v>
      </c>
    </row>
    <row r="5791" spans="1:4" x14ac:dyDescent="0.25">
      <c r="A5791" t="s">
        <v>667</v>
      </c>
      <c r="B5791" t="s">
        <v>166</v>
      </c>
      <c r="C5791" s="2">
        <f>HYPERLINK("https://sao.dolgi.msk.ru/account/1404114658/", 1404114658)</f>
        <v>1404114658</v>
      </c>
      <c r="D5791">
        <v>1065.81</v>
      </c>
    </row>
    <row r="5792" spans="1:4" hidden="1" x14ac:dyDescent="0.25">
      <c r="A5792" t="s">
        <v>667</v>
      </c>
      <c r="B5792" t="s">
        <v>167</v>
      </c>
      <c r="C5792" s="2">
        <f>HYPERLINK("https://sao.dolgi.msk.ru/account/1404115298/", 1404115298)</f>
        <v>1404115298</v>
      </c>
      <c r="D5792">
        <v>-4114.8100000000004</v>
      </c>
    </row>
    <row r="5793" spans="1:4" x14ac:dyDescent="0.25">
      <c r="A5793" t="s">
        <v>667</v>
      </c>
      <c r="B5793" t="s">
        <v>168</v>
      </c>
      <c r="C5793" s="2">
        <f>HYPERLINK("https://sao.dolgi.msk.ru/account/1404114527/", 1404114527)</f>
        <v>1404114527</v>
      </c>
      <c r="D5793">
        <v>481.5</v>
      </c>
    </row>
    <row r="5794" spans="1:4" x14ac:dyDescent="0.25">
      <c r="A5794" t="s">
        <v>667</v>
      </c>
      <c r="B5794" t="s">
        <v>169</v>
      </c>
      <c r="C5794" s="2">
        <f>HYPERLINK("https://sao.dolgi.msk.ru/account/1404115239/", 1404115239)</f>
        <v>1404115239</v>
      </c>
      <c r="D5794">
        <v>5875.32</v>
      </c>
    </row>
    <row r="5795" spans="1:4" hidden="1" x14ac:dyDescent="0.25">
      <c r="A5795" t="s">
        <v>667</v>
      </c>
      <c r="B5795" t="s">
        <v>170</v>
      </c>
      <c r="C5795" s="2">
        <f>HYPERLINK("https://sao.dolgi.msk.ru/account/1404114535/", 1404114535)</f>
        <v>1404114535</v>
      </c>
      <c r="D5795">
        <v>-4246.53</v>
      </c>
    </row>
    <row r="5796" spans="1:4" hidden="1" x14ac:dyDescent="0.25">
      <c r="A5796" t="s">
        <v>667</v>
      </c>
      <c r="B5796" t="s">
        <v>171</v>
      </c>
      <c r="C5796" s="2">
        <f>HYPERLINK("https://sao.dolgi.msk.ru/account/1404114674/", 1404114674)</f>
        <v>1404114674</v>
      </c>
      <c r="D5796">
        <v>0</v>
      </c>
    </row>
    <row r="5797" spans="1:4" hidden="1" x14ac:dyDescent="0.25">
      <c r="A5797" t="s">
        <v>667</v>
      </c>
      <c r="B5797" t="s">
        <v>172</v>
      </c>
      <c r="C5797" s="2">
        <f>HYPERLINK("https://sao.dolgi.msk.ru/account/1404115247/", 1404115247)</f>
        <v>1404115247</v>
      </c>
      <c r="D5797">
        <v>-3880.34</v>
      </c>
    </row>
    <row r="5798" spans="1:4" x14ac:dyDescent="0.25">
      <c r="A5798" t="s">
        <v>667</v>
      </c>
      <c r="B5798" t="s">
        <v>173</v>
      </c>
      <c r="C5798" s="2">
        <f>HYPERLINK("https://sao.dolgi.msk.ru/account/1404115415/", 1404115415)</f>
        <v>1404115415</v>
      </c>
      <c r="D5798">
        <v>14340.49</v>
      </c>
    </row>
    <row r="5799" spans="1:4" hidden="1" x14ac:dyDescent="0.25">
      <c r="A5799" t="s">
        <v>667</v>
      </c>
      <c r="B5799" t="s">
        <v>174</v>
      </c>
      <c r="C5799" s="2">
        <f>HYPERLINK("https://sao.dolgi.msk.ru/account/1404115079/", 1404115079)</f>
        <v>1404115079</v>
      </c>
      <c r="D5799">
        <v>-48.29</v>
      </c>
    </row>
    <row r="5800" spans="1:4" hidden="1" x14ac:dyDescent="0.25">
      <c r="A5800" t="s">
        <v>667</v>
      </c>
      <c r="B5800" t="s">
        <v>175</v>
      </c>
      <c r="C5800" s="2">
        <f>HYPERLINK("https://sao.dolgi.msk.ru/account/1404114842/", 1404114842)</f>
        <v>1404114842</v>
      </c>
      <c r="D5800">
        <v>-2904.49</v>
      </c>
    </row>
    <row r="5801" spans="1:4" hidden="1" x14ac:dyDescent="0.25">
      <c r="A5801" t="s">
        <v>667</v>
      </c>
      <c r="B5801" t="s">
        <v>176</v>
      </c>
      <c r="C5801" s="2">
        <f>HYPERLINK("https://sao.dolgi.msk.ru/account/1404114818/", 1404114818)</f>
        <v>1404114818</v>
      </c>
      <c r="D5801">
        <v>-41004.22</v>
      </c>
    </row>
    <row r="5802" spans="1:4" hidden="1" x14ac:dyDescent="0.25">
      <c r="A5802" t="s">
        <v>667</v>
      </c>
      <c r="B5802" t="s">
        <v>177</v>
      </c>
      <c r="C5802" s="2">
        <f>HYPERLINK("https://sao.dolgi.msk.ru/account/1404114738/", 1404114738)</f>
        <v>1404114738</v>
      </c>
      <c r="D5802">
        <v>-1685.13</v>
      </c>
    </row>
    <row r="5803" spans="1:4" hidden="1" x14ac:dyDescent="0.25">
      <c r="A5803" t="s">
        <v>667</v>
      </c>
      <c r="B5803" t="s">
        <v>177</v>
      </c>
      <c r="C5803" s="2">
        <f>HYPERLINK("https://sao.dolgi.msk.ru/account/1404115255/", 1404115255)</f>
        <v>1404115255</v>
      </c>
      <c r="D5803">
        <v>-1684.62</v>
      </c>
    </row>
    <row r="5804" spans="1:4" x14ac:dyDescent="0.25">
      <c r="A5804" t="s">
        <v>667</v>
      </c>
      <c r="B5804" t="s">
        <v>178</v>
      </c>
      <c r="C5804" s="2">
        <f>HYPERLINK("https://sao.dolgi.msk.ru/account/1404114543/", 1404114543)</f>
        <v>1404114543</v>
      </c>
      <c r="D5804">
        <v>635.79999999999995</v>
      </c>
    </row>
    <row r="5805" spans="1:4" hidden="1" x14ac:dyDescent="0.25">
      <c r="A5805" t="s">
        <v>667</v>
      </c>
      <c r="B5805" t="s">
        <v>179</v>
      </c>
      <c r="C5805" s="2">
        <f>HYPERLINK("https://sao.dolgi.msk.ru/account/1404114682/", 1404114682)</f>
        <v>1404114682</v>
      </c>
      <c r="D5805">
        <v>-3350.47</v>
      </c>
    </row>
    <row r="5806" spans="1:4" x14ac:dyDescent="0.25">
      <c r="A5806" t="s">
        <v>667</v>
      </c>
      <c r="B5806" t="s">
        <v>180</v>
      </c>
      <c r="C5806" s="2">
        <f>HYPERLINK("https://sao.dolgi.msk.ru/account/1404115087/", 1404115087)</f>
        <v>1404115087</v>
      </c>
      <c r="D5806">
        <v>101.27</v>
      </c>
    </row>
    <row r="5807" spans="1:4" hidden="1" x14ac:dyDescent="0.25">
      <c r="A5807" t="s">
        <v>667</v>
      </c>
      <c r="B5807" t="s">
        <v>181</v>
      </c>
      <c r="C5807" s="2">
        <f>HYPERLINK("https://sao.dolgi.msk.ru/account/1404115423/", 1404115423)</f>
        <v>1404115423</v>
      </c>
      <c r="D5807">
        <v>-6714.91</v>
      </c>
    </row>
    <row r="5808" spans="1:4" x14ac:dyDescent="0.25">
      <c r="A5808" t="s">
        <v>667</v>
      </c>
      <c r="B5808" t="s">
        <v>184</v>
      </c>
      <c r="C5808" s="2">
        <f>HYPERLINK("https://sao.dolgi.msk.ru/account/1404114922/", 1404114922)</f>
        <v>1404114922</v>
      </c>
      <c r="D5808">
        <v>547.4</v>
      </c>
    </row>
    <row r="5809" spans="1:4" x14ac:dyDescent="0.25">
      <c r="A5809" t="s">
        <v>667</v>
      </c>
      <c r="B5809" t="s">
        <v>185</v>
      </c>
      <c r="C5809" s="2">
        <f>HYPERLINK("https://sao.dolgi.msk.ru/account/1404115263/", 1404115263)</f>
        <v>1404115263</v>
      </c>
      <c r="D5809">
        <v>633.78</v>
      </c>
    </row>
    <row r="5810" spans="1:4" hidden="1" x14ac:dyDescent="0.25">
      <c r="A5810" t="s">
        <v>667</v>
      </c>
      <c r="B5810" t="s">
        <v>186</v>
      </c>
      <c r="C5810" s="2">
        <f>HYPERLINK("https://sao.dolgi.msk.ru/account/1404114551/", 1404114551)</f>
        <v>1404114551</v>
      </c>
      <c r="D5810">
        <v>-652.55999999999995</v>
      </c>
    </row>
    <row r="5811" spans="1:4" hidden="1" x14ac:dyDescent="0.25">
      <c r="A5811" t="s">
        <v>667</v>
      </c>
      <c r="B5811" t="s">
        <v>187</v>
      </c>
      <c r="C5811" s="2">
        <f>HYPERLINK("https://sao.dolgi.msk.ru/account/1404114949/", 1404114949)</f>
        <v>1404114949</v>
      </c>
      <c r="D5811">
        <v>-3665.08</v>
      </c>
    </row>
    <row r="5812" spans="1:4" hidden="1" x14ac:dyDescent="0.25">
      <c r="A5812" t="s">
        <v>667</v>
      </c>
      <c r="B5812" t="s">
        <v>188</v>
      </c>
      <c r="C5812" s="2">
        <f>HYPERLINK("https://sao.dolgi.msk.ru/account/1404115095/", 1404115095)</f>
        <v>1404115095</v>
      </c>
      <c r="D5812">
        <v>-3472.44</v>
      </c>
    </row>
    <row r="5813" spans="1:4" hidden="1" x14ac:dyDescent="0.25">
      <c r="A5813" t="s">
        <v>667</v>
      </c>
      <c r="B5813" t="s">
        <v>189</v>
      </c>
      <c r="C5813" s="2">
        <f>HYPERLINK("https://sao.dolgi.msk.ru/account/1404115431/", 1404115431)</f>
        <v>1404115431</v>
      </c>
      <c r="D5813">
        <v>-56.86</v>
      </c>
    </row>
    <row r="5814" spans="1:4" hidden="1" x14ac:dyDescent="0.25">
      <c r="A5814" t="s">
        <v>667</v>
      </c>
      <c r="B5814" t="s">
        <v>190</v>
      </c>
      <c r="C5814" s="2">
        <f>HYPERLINK("https://sao.dolgi.msk.ru/account/1404114869/", 1404114869)</f>
        <v>1404114869</v>
      </c>
      <c r="D5814">
        <v>-10998.36</v>
      </c>
    </row>
    <row r="5815" spans="1:4" hidden="1" x14ac:dyDescent="0.25">
      <c r="A5815" t="s">
        <v>667</v>
      </c>
      <c r="B5815" t="s">
        <v>191</v>
      </c>
      <c r="C5815" s="2">
        <f>HYPERLINK("https://sao.dolgi.msk.ru/account/1404115108/", 1404115108)</f>
        <v>1404115108</v>
      </c>
      <c r="D5815">
        <v>0</v>
      </c>
    </row>
    <row r="5816" spans="1:4" hidden="1" x14ac:dyDescent="0.25">
      <c r="A5816" t="s">
        <v>667</v>
      </c>
      <c r="B5816" t="s">
        <v>192</v>
      </c>
      <c r="C5816" s="2">
        <f>HYPERLINK("https://sao.dolgi.msk.ru/account/1404114703/", 1404114703)</f>
        <v>1404114703</v>
      </c>
      <c r="D5816">
        <v>-3505.91</v>
      </c>
    </row>
    <row r="5817" spans="1:4" hidden="1" x14ac:dyDescent="0.25">
      <c r="A5817" t="s">
        <v>667</v>
      </c>
      <c r="B5817" t="s">
        <v>193</v>
      </c>
      <c r="C5817" s="2">
        <f>HYPERLINK("https://sao.dolgi.msk.ru/account/1404114711/", 1404114711)</f>
        <v>1404114711</v>
      </c>
      <c r="D5817">
        <v>-2945.23</v>
      </c>
    </row>
    <row r="5818" spans="1:4" hidden="1" x14ac:dyDescent="0.25">
      <c r="A5818" t="s">
        <v>667</v>
      </c>
      <c r="B5818" t="s">
        <v>194</v>
      </c>
      <c r="C5818" s="2">
        <f>HYPERLINK("https://sao.dolgi.msk.ru/account/1404115271/", 1404115271)</f>
        <v>1404115271</v>
      </c>
      <c r="D5818">
        <v>-5685.29</v>
      </c>
    </row>
    <row r="5819" spans="1:4" hidden="1" x14ac:dyDescent="0.25">
      <c r="A5819" t="s">
        <v>667</v>
      </c>
      <c r="B5819" t="s">
        <v>195</v>
      </c>
      <c r="C5819" s="2">
        <f>HYPERLINK("https://sao.dolgi.msk.ru/account/1404115116/", 1404115116)</f>
        <v>1404115116</v>
      </c>
      <c r="D5819">
        <v>-4318.75</v>
      </c>
    </row>
    <row r="5820" spans="1:4" hidden="1" x14ac:dyDescent="0.25">
      <c r="A5820" t="s">
        <v>667</v>
      </c>
      <c r="B5820" t="s">
        <v>196</v>
      </c>
      <c r="C5820" s="2">
        <f>HYPERLINK("https://sao.dolgi.msk.ru/account/1404114957/", 1404114957)</f>
        <v>1404114957</v>
      </c>
      <c r="D5820">
        <v>0</v>
      </c>
    </row>
    <row r="5821" spans="1:4" hidden="1" x14ac:dyDescent="0.25">
      <c r="A5821" t="s">
        <v>667</v>
      </c>
      <c r="B5821" t="s">
        <v>197</v>
      </c>
      <c r="C5821" s="2">
        <f>HYPERLINK("https://sao.dolgi.msk.ru/account/1404114578/", 1404114578)</f>
        <v>1404114578</v>
      </c>
      <c r="D5821">
        <v>-6842.65</v>
      </c>
    </row>
    <row r="5822" spans="1:4" hidden="1" x14ac:dyDescent="0.25">
      <c r="A5822" t="s">
        <v>667</v>
      </c>
      <c r="B5822" t="s">
        <v>198</v>
      </c>
      <c r="C5822" s="2">
        <f>HYPERLINK("https://sao.dolgi.msk.ru/account/1404115124/", 1404115124)</f>
        <v>1404115124</v>
      </c>
      <c r="D5822">
        <v>-2691.52</v>
      </c>
    </row>
    <row r="5823" spans="1:4" x14ac:dyDescent="0.25">
      <c r="A5823" t="s">
        <v>667</v>
      </c>
      <c r="B5823" t="s">
        <v>199</v>
      </c>
      <c r="C5823" s="2">
        <f>HYPERLINK("https://sao.dolgi.msk.ru/account/1404114965/", 1404114965)</f>
        <v>1404114965</v>
      </c>
      <c r="D5823">
        <v>2056.2199999999998</v>
      </c>
    </row>
    <row r="5824" spans="1:4" hidden="1" x14ac:dyDescent="0.25">
      <c r="A5824" t="s">
        <v>668</v>
      </c>
      <c r="B5824" t="s">
        <v>200</v>
      </c>
      <c r="C5824" s="2">
        <f>HYPERLINK("https://sao.dolgi.msk.ru/account/1404115984/", 1404115984)</f>
        <v>1404115984</v>
      </c>
      <c r="D5824">
        <v>-4688.1000000000004</v>
      </c>
    </row>
    <row r="5825" spans="1:4" hidden="1" x14ac:dyDescent="0.25">
      <c r="A5825" t="s">
        <v>668</v>
      </c>
      <c r="B5825" t="s">
        <v>201</v>
      </c>
      <c r="C5825" s="2">
        <f>HYPERLINK("https://sao.dolgi.msk.ru/account/1404116258/", 1404116258)</f>
        <v>1404116258</v>
      </c>
      <c r="D5825">
        <v>-4361.2</v>
      </c>
    </row>
    <row r="5826" spans="1:4" hidden="1" x14ac:dyDescent="0.25">
      <c r="A5826" t="s">
        <v>668</v>
      </c>
      <c r="B5826" t="s">
        <v>202</v>
      </c>
      <c r="C5826" s="2">
        <f>HYPERLINK("https://sao.dolgi.msk.ru/account/1404115626/", 1404115626)</f>
        <v>1404115626</v>
      </c>
      <c r="D5826">
        <v>0</v>
      </c>
    </row>
    <row r="5827" spans="1:4" hidden="1" x14ac:dyDescent="0.25">
      <c r="A5827" t="s">
        <v>668</v>
      </c>
      <c r="B5827" t="s">
        <v>203</v>
      </c>
      <c r="C5827" s="2">
        <f>HYPERLINK("https://sao.dolgi.msk.ru/account/1404115992/", 1404115992)</f>
        <v>1404115992</v>
      </c>
      <c r="D5827">
        <v>-2085.27</v>
      </c>
    </row>
    <row r="5828" spans="1:4" hidden="1" x14ac:dyDescent="0.25">
      <c r="A5828" t="s">
        <v>668</v>
      </c>
      <c r="B5828" t="s">
        <v>204</v>
      </c>
      <c r="C5828" s="2">
        <f>HYPERLINK("https://sao.dolgi.msk.ru/account/1404115837/", 1404115837)</f>
        <v>1404115837</v>
      </c>
      <c r="D5828">
        <v>-5743.3</v>
      </c>
    </row>
    <row r="5829" spans="1:4" x14ac:dyDescent="0.25">
      <c r="A5829" t="s">
        <v>668</v>
      </c>
      <c r="B5829" t="s">
        <v>205</v>
      </c>
      <c r="C5829" s="2">
        <f>HYPERLINK("https://sao.dolgi.msk.ru/account/1404115757/", 1404115757)</f>
        <v>1404115757</v>
      </c>
      <c r="D5829">
        <v>8202.19</v>
      </c>
    </row>
    <row r="5830" spans="1:4" hidden="1" x14ac:dyDescent="0.25">
      <c r="A5830" t="s">
        <v>668</v>
      </c>
      <c r="B5830" t="s">
        <v>206</v>
      </c>
      <c r="C5830" s="2">
        <f>HYPERLINK("https://sao.dolgi.msk.ru/account/1404115765/", 1404115765)</f>
        <v>1404115765</v>
      </c>
      <c r="D5830">
        <v>-4208.26</v>
      </c>
    </row>
    <row r="5831" spans="1:4" hidden="1" x14ac:dyDescent="0.25">
      <c r="A5831" t="s">
        <v>668</v>
      </c>
      <c r="B5831" t="s">
        <v>207</v>
      </c>
      <c r="C5831" s="2">
        <f>HYPERLINK("https://sao.dolgi.msk.ru/account/1404116266/", 1404116266)</f>
        <v>1404116266</v>
      </c>
      <c r="D5831">
        <v>0</v>
      </c>
    </row>
    <row r="5832" spans="1:4" hidden="1" x14ac:dyDescent="0.25">
      <c r="A5832" t="s">
        <v>668</v>
      </c>
      <c r="B5832" t="s">
        <v>208</v>
      </c>
      <c r="C5832" s="2">
        <f>HYPERLINK("https://sao.dolgi.msk.ru/account/1404115554/", 1404115554)</f>
        <v>1404115554</v>
      </c>
      <c r="D5832">
        <v>0</v>
      </c>
    </row>
    <row r="5833" spans="1:4" hidden="1" x14ac:dyDescent="0.25">
      <c r="A5833" t="s">
        <v>668</v>
      </c>
      <c r="B5833" t="s">
        <v>209</v>
      </c>
      <c r="C5833" s="2">
        <f>HYPERLINK("https://sao.dolgi.msk.ru/account/1404116004/", 1404116004)</f>
        <v>1404116004</v>
      </c>
      <c r="D5833">
        <v>-2383.4699999999998</v>
      </c>
    </row>
    <row r="5834" spans="1:4" hidden="1" x14ac:dyDescent="0.25">
      <c r="A5834" t="s">
        <v>668</v>
      </c>
      <c r="B5834" t="s">
        <v>210</v>
      </c>
      <c r="C5834" s="2">
        <f>HYPERLINK("https://sao.dolgi.msk.ru/account/1404115845/", 1404115845)</f>
        <v>1404115845</v>
      </c>
      <c r="D5834">
        <v>0</v>
      </c>
    </row>
    <row r="5835" spans="1:4" hidden="1" x14ac:dyDescent="0.25">
      <c r="A5835" t="s">
        <v>668</v>
      </c>
      <c r="B5835" t="s">
        <v>211</v>
      </c>
      <c r="C5835" s="2">
        <f>HYPERLINK("https://sao.dolgi.msk.ru/account/1404115634/", 1404115634)</f>
        <v>1404115634</v>
      </c>
      <c r="D5835">
        <v>-2835.98</v>
      </c>
    </row>
    <row r="5836" spans="1:4" hidden="1" x14ac:dyDescent="0.25">
      <c r="A5836" t="s">
        <v>668</v>
      </c>
      <c r="B5836" t="s">
        <v>212</v>
      </c>
      <c r="C5836" s="2">
        <f>HYPERLINK("https://sao.dolgi.msk.ru/account/1404115642/", 1404115642)</f>
        <v>1404115642</v>
      </c>
      <c r="D5836">
        <v>-5960.49</v>
      </c>
    </row>
    <row r="5837" spans="1:4" hidden="1" x14ac:dyDescent="0.25">
      <c r="A5837" t="s">
        <v>668</v>
      </c>
      <c r="B5837" t="s">
        <v>213</v>
      </c>
      <c r="C5837" s="2">
        <f>HYPERLINK("https://sao.dolgi.msk.ru/account/1404115458/", 1404115458)</f>
        <v>1404115458</v>
      </c>
      <c r="D5837">
        <v>-3228.32</v>
      </c>
    </row>
    <row r="5838" spans="1:4" hidden="1" x14ac:dyDescent="0.25">
      <c r="A5838" t="s">
        <v>668</v>
      </c>
      <c r="B5838" t="s">
        <v>214</v>
      </c>
      <c r="C5838" s="2">
        <f>HYPERLINK("https://sao.dolgi.msk.ru/account/1404116143/", 1404116143)</f>
        <v>1404116143</v>
      </c>
      <c r="D5838">
        <v>-2174.42</v>
      </c>
    </row>
    <row r="5839" spans="1:4" x14ac:dyDescent="0.25">
      <c r="A5839" t="s">
        <v>668</v>
      </c>
      <c r="B5839" t="s">
        <v>215</v>
      </c>
      <c r="C5839" s="2">
        <f>HYPERLINK("https://sao.dolgi.msk.ru/account/1404115853/", 1404115853)</f>
        <v>1404115853</v>
      </c>
      <c r="D5839">
        <v>1413</v>
      </c>
    </row>
    <row r="5840" spans="1:4" hidden="1" x14ac:dyDescent="0.25">
      <c r="A5840" t="s">
        <v>668</v>
      </c>
      <c r="B5840" t="s">
        <v>216</v>
      </c>
      <c r="C5840" s="2">
        <f>HYPERLINK("https://sao.dolgi.msk.ru/account/1404116012/", 1404116012)</f>
        <v>1404116012</v>
      </c>
      <c r="D5840">
        <v>0</v>
      </c>
    </row>
    <row r="5841" spans="1:4" hidden="1" x14ac:dyDescent="0.25">
      <c r="A5841" t="s">
        <v>668</v>
      </c>
      <c r="B5841" t="s">
        <v>217</v>
      </c>
      <c r="C5841" s="2">
        <f>HYPERLINK("https://sao.dolgi.msk.ru/account/1404116274/", 1404116274)</f>
        <v>1404116274</v>
      </c>
      <c r="D5841">
        <v>-3402.68</v>
      </c>
    </row>
    <row r="5842" spans="1:4" hidden="1" x14ac:dyDescent="0.25">
      <c r="A5842" t="s">
        <v>668</v>
      </c>
      <c r="B5842" t="s">
        <v>218</v>
      </c>
      <c r="C5842" s="2">
        <f>HYPERLINK("https://sao.dolgi.msk.ru/account/1404116151/", 1404116151)</f>
        <v>1404116151</v>
      </c>
      <c r="D5842">
        <v>-4226.57</v>
      </c>
    </row>
    <row r="5843" spans="1:4" hidden="1" x14ac:dyDescent="0.25">
      <c r="A5843" t="s">
        <v>668</v>
      </c>
      <c r="B5843" t="s">
        <v>219</v>
      </c>
      <c r="C5843" s="2">
        <f>HYPERLINK("https://sao.dolgi.msk.ru/account/1404116282/", 1404116282)</f>
        <v>1404116282</v>
      </c>
      <c r="D5843">
        <v>0</v>
      </c>
    </row>
    <row r="5844" spans="1:4" hidden="1" x14ac:dyDescent="0.25">
      <c r="A5844" t="s">
        <v>668</v>
      </c>
      <c r="B5844" t="s">
        <v>220</v>
      </c>
      <c r="C5844" s="2">
        <f>HYPERLINK("https://sao.dolgi.msk.ru/account/1404115669/", 1404115669)</f>
        <v>1404115669</v>
      </c>
      <c r="D5844">
        <v>0</v>
      </c>
    </row>
    <row r="5845" spans="1:4" x14ac:dyDescent="0.25">
      <c r="A5845" t="s">
        <v>668</v>
      </c>
      <c r="B5845" t="s">
        <v>221</v>
      </c>
      <c r="C5845" s="2">
        <f>HYPERLINK("https://sao.dolgi.msk.ru/account/1404116303/", 1404116303)</f>
        <v>1404116303</v>
      </c>
      <c r="D5845">
        <v>48056.56</v>
      </c>
    </row>
    <row r="5846" spans="1:4" x14ac:dyDescent="0.25">
      <c r="A5846" t="s">
        <v>668</v>
      </c>
      <c r="B5846" t="s">
        <v>222</v>
      </c>
      <c r="C5846" s="2">
        <f>HYPERLINK("https://sao.dolgi.msk.ru/account/1404116178/", 1404116178)</f>
        <v>1404116178</v>
      </c>
      <c r="D5846">
        <v>19248.419999999998</v>
      </c>
    </row>
    <row r="5847" spans="1:4" hidden="1" x14ac:dyDescent="0.25">
      <c r="A5847" t="s">
        <v>668</v>
      </c>
      <c r="B5847" t="s">
        <v>223</v>
      </c>
      <c r="C5847" s="2">
        <f>HYPERLINK("https://sao.dolgi.msk.ru/account/1404115773/", 1404115773)</f>
        <v>1404115773</v>
      </c>
      <c r="D5847">
        <v>-6354.39</v>
      </c>
    </row>
    <row r="5848" spans="1:4" hidden="1" x14ac:dyDescent="0.25">
      <c r="A5848" t="s">
        <v>668</v>
      </c>
      <c r="B5848" t="s">
        <v>224</v>
      </c>
      <c r="C5848" s="2">
        <f>HYPERLINK("https://sao.dolgi.msk.ru/account/1404116039/", 1404116039)</f>
        <v>1404116039</v>
      </c>
      <c r="D5848">
        <v>0</v>
      </c>
    </row>
    <row r="5849" spans="1:4" x14ac:dyDescent="0.25">
      <c r="A5849" t="s">
        <v>668</v>
      </c>
      <c r="B5849" t="s">
        <v>225</v>
      </c>
      <c r="C5849" s="2">
        <f>HYPERLINK("https://sao.dolgi.msk.ru/account/1404115466/", 1404115466)</f>
        <v>1404115466</v>
      </c>
      <c r="D5849">
        <v>2543.8000000000002</v>
      </c>
    </row>
    <row r="5850" spans="1:4" x14ac:dyDescent="0.25">
      <c r="A5850" t="s">
        <v>668</v>
      </c>
      <c r="B5850" t="s">
        <v>226</v>
      </c>
      <c r="C5850" s="2">
        <f>HYPERLINK("https://sao.dolgi.msk.ru/account/1404115474/", 1404115474)</f>
        <v>1404115474</v>
      </c>
      <c r="D5850">
        <v>11120.73</v>
      </c>
    </row>
    <row r="5851" spans="1:4" hidden="1" x14ac:dyDescent="0.25">
      <c r="A5851" t="s">
        <v>668</v>
      </c>
      <c r="B5851" t="s">
        <v>227</v>
      </c>
      <c r="C5851" s="2">
        <f>HYPERLINK("https://sao.dolgi.msk.ru/account/1404116311/", 1404116311)</f>
        <v>1404116311</v>
      </c>
      <c r="D5851">
        <v>-1344.41</v>
      </c>
    </row>
    <row r="5852" spans="1:4" hidden="1" x14ac:dyDescent="0.25">
      <c r="A5852" t="s">
        <v>668</v>
      </c>
      <c r="B5852" t="s">
        <v>228</v>
      </c>
      <c r="C5852" s="2">
        <f>HYPERLINK("https://sao.dolgi.msk.ru/account/1404115861/", 1404115861)</f>
        <v>1404115861</v>
      </c>
      <c r="D5852">
        <v>-16843.98</v>
      </c>
    </row>
    <row r="5853" spans="1:4" hidden="1" x14ac:dyDescent="0.25">
      <c r="A5853" t="s">
        <v>668</v>
      </c>
      <c r="B5853" t="s">
        <v>229</v>
      </c>
      <c r="C5853" s="2">
        <f>HYPERLINK("https://sao.dolgi.msk.ru/account/1404115677/", 1404115677)</f>
        <v>1404115677</v>
      </c>
      <c r="D5853">
        <v>-6798.31</v>
      </c>
    </row>
    <row r="5854" spans="1:4" hidden="1" x14ac:dyDescent="0.25">
      <c r="A5854" t="s">
        <v>668</v>
      </c>
      <c r="B5854" t="s">
        <v>230</v>
      </c>
      <c r="C5854" s="2">
        <f>HYPERLINK("https://sao.dolgi.msk.ru/account/1404115685/", 1404115685)</f>
        <v>1404115685</v>
      </c>
      <c r="D5854">
        <v>-4045.9</v>
      </c>
    </row>
    <row r="5855" spans="1:4" x14ac:dyDescent="0.25">
      <c r="A5855" t="s">
        <v>668</v>
      </c>
      <c r="B5855" t="s">
        <v>231</v>
      </c>
      <c r="C5855" s="2">
        <f>HYPERLINK("https://sao.dolgi.msk.ru/account/1404116186/", 1404116186)</f>
        <v>1404116186</v>
      </c>
      <c r="D5855">
        <v>676.5</v>
      </c>
    </row>
    <row r="5856" spans="1:4" hidden="1" x14ac:dyDescent="0.25">
      <c r="A5856" t="s">
        <v>668</v>
      </c>
      <c r="B5856" t="s">
        <v>232</v>
      </c>
      <c r="C5856" s="2">
        <f>HYPERLINK("https://sao.dolgi.msk.ru/account/1404116047/", 1404116047)</f>
        <v>1404116047</v>
      </c>
      <c r="D5856">
        <v>-2705.77</v>
      </c>
    </row>
    <row r="5857" spans="1:4" x14ac:dyDescent="0.25">
      <c r="A5857" t="s">
        <v>668</v>
      </c>
      <c r="B5857" t="s">
        <v>233</v>
      </c>
      <c r="C5857" s="2">
        <f>HYPERLINK("https://sao.dolgi.msk.ru/account/1404115888/", 1404115888)</f>
        <v>1404115888</v>
      </c>
      <c r="D5857">
        <v>354713.61</v>
      </c>
    </row>
    <row r="5858" spans="1:4" hidden="1" x14ac:dyDescent="0.25">
      <c r="A5858" t="s">
        <v>668</v>
      </c>
      <c r="B5858" t="s">
        <v>234</v>
      </c>
      <c r="C5858" s="2">
        <f>HYPERLINK("https://sao.dolgi.msk.ru/account/1404115562/", 1404115562)</f>
        <v>1404115562</v>
      </c>
      <c r="D5858">
        <v>-3047.88</v>
      </c>
    </row>
    <row r="5859" spans="1:4" hidden="1" x14ac:dyDescent="0.25">
      <c r="A5859" t="s">
        <v>668</v>
      </c>
      <c r="B5859" t="s">
        <v>235</v>
      </c>
      <c r="C5859" s="2">
        <f>HYPERLINK("https://sao.dolgi.msk.ru/account/1404116338/", 1404116338)</f>
        <v>1404116338</v>
      </c>
      <c r="D5859">
        <v>0</v>
      </c>
    </row>
    <row r="5860" spans="1:4" hidden="1" x14ac:dyDescent="0.25">
      <c r="A5860" t="s">
        <v>668</v>
      </c>
      <c r="B5860" t="s">
        <v>239</v>
      </c>
      <c r="C5860" s="2">
        <f>HYPERLINK("https://sao.dolgi.msk.ru/account/1404115896/", 1404115896)</f>
        <v>1404115896</v>
      </c>
      <c r="D5860">
        <v>-2807.91</v>
      </c>
    </row>
    <row r="5861" spans="1:4" x14ac:dyDescent="0.25">
      <c r="A5861" t="s">
        <v>668</v>
      </c>
      <c r="B5861" t="s">
        <v>240</v>
      </c>
      <c r="C5861" s="2">
        <f>HYPERLINK("https://sao.dolgi.msk.ru/account/1404115589/", 1404115589)</f>
        <v>1404115589</v>
      </c>
      <c r="D5861">
        <v>7073.61</v>
      </c>
    </row>
    <row r="5862" spans="1:4" hidden="1" x14ac:dyDescent="0.25">
      <c r="A5862" t="s">
        <v>668</v>
      </c>
      <c r="B5862" t="s">
        <v>241</v>
      </c>
      <c r="C5862" s="2">
        <f>HYPERLINK("https://sao.dolgi.msk.ru/account/1404116055/", 1404116055)</f>
        <v>1404116055</v>
      </c>
      <c r="D5862">
        <v>-7328.36</v>
      </c>
    </row>
    <row r="5863" spans="1:4" hidden="1" x14ac:dyDescent="0.25">
      <c r="A5863" t="s">
        <v>668</v>
      </c>
      <c r="B5863" t="s">
        <v>242</v>
      </c>
      <c r="C5863" s="2">
        <f>HYPERLINK("https://sao.dolgi.msk.ru/account/1404116346/", 1404116346)</f>
        <v>1404116346</v>
      </c>
      <c r="D5863">
        <v>-4328.87</v>
      </c>
    </row>
    <row r="5864" spans="1:4" hidden="1" x14ac:dyDescent="0.25">
      <c r="A5864" t="s">
        <v>668</v>
      </c>
      <c r="B5864" t="s">
        <v>243</v>
      </c>
      <c r="C5864" s="2">
        <f>HYPERLINK("https://sao.dolgi.msk.ru/account/1404116063/", 1404116063)</f>
        <v>1404116063</v>
      </c>
      <c r="D5864">
        <v>-9119.4699999999993</v>
      </c>
    </row>
    <row r="5865" spans="1:4" hidden="1" x14ac:dyDescent="0.25">
      <c r="A5865" t="s">
        <v>668</v>
      </c>
      <c r="B5865" t="s">
        <v>244</v>
      </c>
      <c r="C5865" s="2">
        <f>HYPERLINK("https://sao.dolgi.msk.ru/account/1404115909/", 1404115909)</f>
        <v>1404115909</v>
      </c>
      <c r="D5865">
        <v>-1891.32</v>
      </c>
    </row>
    <row r="5866" spans="1:4" hidden="1" x14ac:dyDescent="0.25">
      <c r="A5866" t="s">
        <v>668</v>
      </c>
      <c r="B5866" t="s">
        <v>245</v>
      </c>
      <c r="C5866" s="2">
        <f>HYPERLINK("https://sao.dolgi.msk.ru/account/1404115482/", 1404115482)</f>
        <v>1404115482</v>
      </c>
      <c r="D5866">
        <v>0</v>
      </c>
    </row>
    <row r="5867" spans="1:4" hidden="1" x14ac:dyDescent="0.25">
      <c r="A5867" t="s">
        <v>668</v>
      </c>
      <c r="B5867" t="s">
        <v>246</v>
      </c>
      <c r="C5867" s="2">
        <f>HYPERLINK("https://sao.dolgi.msk.ru/account/1404116071/", 1404116071)</f>
        <v>1404116071</v>
      </c>
      <c r="D5867">
        <v>-2992.95</v>
      </c>
    </row>
    <row r="5868" spans="1:4" hidden="1" x14ac:dyDescent="0.25">
      <c r="A5868" t="s">
        <v>668</v>
      </c>
      <c r="B5868" t="s">
        <v>247</v>
      </c>
      <c r="C5868" s="2">
        <f>HYPERLINK("https://sao.dolgi.msk.ru/account/1404116194/", 1404116194)</f>
        <v>1404116194</v>
      </c>
      <c r="D5868">
        <v>-10595.3</v>
      </c>
    </row>
    <row r="5869" spans="1:4" x14ac:dyDescent="0.25">
      <c r="A5869" t="s">
        <v>668</v>
      </c>
      <c r="B5869" t="s">
        <v>248</v>
      </c>
      <c r="C5869" s="2">
        <f>HYPERLINK("https://sao.dolgi.msk.ru/account/1404116354/", 1404116354)</f>
        <v>1404116354</v>
      </c>
      <c r="D5869">
        <v>739.14</v>
      </c>
    </row>
    <row r="5870" spans="1:4" hidden="1" x14ac:dyDescent="0.25">
      <c r="A5870" t="s">
        <v>668</v>
      </c>
      <c r="B5870" t="s">
        <v>249</v>
      </c>
      <c r="C5870" s="2">
        <f>HYPERLINK("https://sao.dolgi.msk.ru/account/1404116098/", 1404116098)</f>
        <v>1404116098</v>
      </c>
      <c r="D5870">
        <v>-7044.78</v>
      </c>
    </row>
    <row r="5871" spans="1:4" hidden="1" x14ac:dyDescent="0.25">
      <c r="A5871" t="s">
        <v>668</v>
      </c>
      <c r="B5871" t="s">
        <v>250</v>
      </c>
      <c r="C5871" s="2">
        <f>HYPERLINK("https://sao.dolgi.msk.ru/account/1404115597/", 1404115597)</f>
        <v>1404115597</v>
      </c>
      <c r="D5871">
        <v>0</v>
      </c>
    </row>
    <row r="5872" spans="1:4" hidden="1" x14ac:dyDescent="0.25">
      <c r="A5872" t="s">
        <v>668</v>
      </c>
      <c r="B5872" t="s">
        <v>251</v>
      </c>
      <c r="C5872" s="2">
        <f>HYPERLINK("https://sao.dolgi.msk.ru/account/1404116362/", 1404116362)</f>
        <v>1404116362</v>
      </c>
      <c r="D5872">
        <v>-4890.5</v>
      </c>
    </row>
    <row r="5873" spans="1:4" hidden="1" x14ac:dyDescent="0.25">
      <c r="A5873" t="s">
        <v>668</v>
      </c>
      <c r="B5873" t="s">
        <v>252</v>
      </c>
      <c r="C5873" s="2">
        <f>HYPERLINK("https://sao.dolgi.msk.ru/account/1404116119/", 1404116119)</f>
        <v>1404116119</v>
      </c>
      <c r="D5873">
        <v>-4837.57</v>
      </c>
    </row>
    <row r="5874" spans="1:4" x14ac:dyDescent="0.25">
      <c r="A5874" t="s">
        <v>668</v>
      </c>
      <c r="B5874" t="s">
        <v>253</v>
      </c>
      <c r="C5874" s="2">
        <f>HYPERLINK("https://sao.dolgi.msk.ru/account/1404115693/", 1404115693)</f>
        <v>1404115693</v>
      </c>
      <c r="D5874">
        <v>574.5</v>
      </c>
    </row>
    <row r="5875" spans="1:4" hidden="1" x14ac:dyDescent="0.25">
      <c r="A5875" t="s">
        <v>668</v>
      </c>
      <c r="B5875" t="s">
        <v>254</v>
      </c>
      <c r="C5875" s="2">
        <f>HYPERLINK("https://sao.dolgi.msk.ru/account/1404115706/", 1404115706)</f>
        <v>1404115706</v>
      </c>
      <c r="D5875">
        <v>0</v>
      </c>
    </row>
    <row r="5876" spans="1:4" hidden="1" x14ac:dyDescent="0.25">
      <c r="A5876" t="s">
        <v>668</v>
      </c>
      <c r="B5876" t="s">
        <v>255</v>
      </c>
      <c r="C5876" s="2">
        <f>HYPERLINK("https://sao.dolgi.msk.ru/account/1404116389/", 1404116389)</f>
        <v>1404116389</v>
      </c>
      <c r="D5876">
        <v>-3946.81</v>
      </c>
    </row>
    <row r="5877" spans="1:4" hidden="1" x14ac:dyDescent="0.25">
      <c r="A5877" t="s">
        <v>668</v>
      </c>
      <c r="B5877" t="s">
        <v>256</v>
      </c>
      <c r="C5877" s="2">
        <f>HYPERLINK("https://sao.dolgi.msk.ru/account/1404115917/", 1404115917)</f>
        <v>1404115917</v>
      </c>
      <c r="D5877">
        <v>-3420.84</v>
      </c>
    </row>
    <row r="5878" spans="1:4" hidden="1" x14ac:dyDescent="0.25">
      <c r="A5878" t="s">
        <v>668</v>
      </c>
      <c r="B5878" t="s">
        <v>257</v>
      </c>
      <c r="C5878" s="2">
        <f>HYPERLINK("https://sao.dolgi.msk.ru/account/1404116397/", 1404116397)</f>
        <v>1404116397</v>
      </c>
      <c r="D5878">
        <v>-9271.0400000000009</v>
      </c>
    </row>
    <row r="5879" spans="1:4" hidden="1" x14ac:dyDescent="0.25">
      <c r="A5879" t="s">
        <v>668</v>
      </c>
      <c r="B5879" t="s">
        <v>258</v>
      </c>
      <c r="C5879" s="2">
        <f>HYPERLINK("https://sao.dolgi.msk.ru/account/1404115503/", 1404115503)</f>
        <v>1404115503</v>
      </c>
      <c r="D5879">
        <v>0</v>
      </c>
    </row>
    <row r="5880" spans="1:4" x14ac:dyDescent="0.25">
      <c r="A5880" t="s">
        <v>668</v>
      </c>
      <c r="B5880" t="s">
        <v>259</v>
      </c>
      <c r="C5880" s="2">
        <f>HYPERLINK("https://sao.dolgi.msk.ru/account/1404115511/", 1404115511)</f>
        <v>1404115511</v>
      </c>
      <c r="D5880">
        <v>361.6</v>
      </c>
    </row>
    <row r="5881" spans="1:4" hidden="1" x14ac:dyDescent="0.25">
      <c r="A5881" t="s">
        <v>668</v>
      </c>
      <c r="B5881" t="s">
        <v>260</v>
      </c>
      <c r="C5881" s="2">
        <f>HYPERLINK("https://sao.dolgi.msk.ru/account/1404116127/", 1404116127)</f>
        <v>1404116127</v>
      </c>
      <c r="D5881">
        <v>-2891.95</v>
      </c>
    </row>
    <row r="5882" spans="1:4" hidden="1" x14ac:dyDescent="0.25">
      <c r="A5882" t="s">
        <v>668</v>
      </c>
      <c r="B5882" t="s">
        <v>261</v>
      </c>
      <c r="C5882" s="2">
        <f>HYPERLINK("https://sao.dolgi.msk.ru/account/1404115781/", 1404115781)</f>
        <v>1404115781</v>
      </c>
      <c r="D5882">
        <v>-4571.03</v>
      </c>
    </row>
    <row r="5883" spans="1:4" hidden="1" x14ac:dyDescent="0.25">
      <c r="A5883" t="s">
        <v>668</v>
      </c>
      <c r="B5883" t="s">
        <v>262</v>
      </c>
      <c r="C5883" s="2">
        <f>HYPERLINK("https://sao.dolgi.msk.ru/account/1404115714/", 1404115714)</f>
        <v>1404115714</v>
      </c>
      <c r="D5883">
        <v>-2593.5500000000002</v>
      </c>
    </row>
    <row r="5884" spans="1:4" hidden="1" x14ac:dyDescent="0.25">
      <c r="A5884" t="s">
        <v>668</v>
      </c>
      <c r="B5884" t="s">
        <v>263</v>
      </c>
      <c r="C5884" s="2">
        <f>HYPERLINK("https://sao.dolgi.msk.ru/account/1404116207/", 1404116207)</f>
        <v>1404116207</v>
      </c>
      <c r="D5884">
        <v>-5111.8999999999996</v>
      </c>
    </row>
    <row r="5885" spans="1:4" hidden="1" x14ac:dyDescent="0.25">
      <c r="A5885" t="s">
        <v>668</v>
      </c>
      <c r="B5885" t="s">
        <v>264</v>
      </c>
      <c r="C5885" s="2">
        <f>HYPERLINK("https://sao.dolgi.msk.ru/account/1404116418/", 1404116418)</f>
        <v>1404116418</v>
      </c>
      <c r="D5885">
        <v>-2438.4499999999998</v>
      </c>
    </row>
    <row r="5886" spans="1:4" hidden="1" x14ac:dyDescent="0.25">
      <c r="A5886" t="s">
        <v>668</v>
      </c>
      <c r="B5886" t="s">
        <v>265</v>
      </c>
      <c r="C5886" s="2">
        <f>HYPERLINK("https://sao.dolgi.msk.ru/account/1404115925/", 1404115925)</f>
        <v>1404115925</v>
      </c>
      <c r="D5886">
        <v>-4732.49</v>
      </c>
    </row>
    <row r="5887" spans="1:4" x14ac:dyDescent="0.25">
      <c r="A5887" t="s">
        <v>668</v>
      </c>
      <c r="B5887" t="s">
        <v>266</v>
      </c>
      <c r="C5887" s="2">
        <f>HYPERLINK("https://sao.dolgi.msk.ru/account/1404115722/", 1404115722)</f>
        <v>1404115722</v>
      </c>
      <c r="D5887">
        <v>10.49</v>
      </c>
    </row>
    <row r="5888" spans="1:4" hidden="1" x14ac:dyDescent="0.25">
      <c r="A5888" t="s">
        <v>668</v>
      </c>
      <c r="B5888" t="s">
        <v>267</v>
      </c>
      <c r="C5888" s="2">
        <f>HYPERLINK("https://sao.dolgi.msk.ru/account/1404116135/", 1404116135)</f>
        <v>1404116135</v>
      </c>
      <c r="D5888">
        <v>-3537.13</v>
      </c>
    </row>
    <row r="5889" spans="1:4" hidden="1" x14ac:dyDescent="0.25">
      <c r="A5889" t="s">
        <v>668</v>
      </c>
      <c r="B5889" t="s">
        <v>268</v>
      </c>
      <c r="C5889" s="2">
        <f>HYPERLINK("https://sao.dolgi.msk.ru/account/1404115538/", 1404115538)</f>
        <v>1404115538</v>
      </c>
      <c r="D5889">
        <v>-4849.04</v>
      </c>
    </row>
    <row r="5890" spans="1:4" x14ac:dyDescent="0.25">
      <c r="A5890" t="s">
        <v>668</v>
      </c>
      <c r="B5890" t="s">
        <v>269</v>
      </c>
      <c r="C5890" s="2">
        <f>HYPERLINK("https://sao.dolgi.msk.ru/account/1404115749/", 1404115749)</f>
        <v>1404115749</v>
      </c>
      <c r="D5890">
        <v>8668.91</v>
      </c>
    </row>
    <row r="5891" spans="1:4" hidden="1" x14ac:dyDescent="0.25">
      <c r="A5891" t="s">
        <v>668</v>
      </c>
      <c r="B5891" t="s">
        <v>270</v>
      </c>
      <c r="C5891" s="2">
        <f>HYPERLINK("https://sao.dolgi.msk.ru/account/1404116215/", 1404116215)</f>
        <v>1404116215</v>
      </c>
      <c r="D5891">
        <v>0</v>
      </c>
    </row>
    <row r="5892" spans="1:4" hidden="1" x14ac:dyDescent="0.25">
      <c r="A5892" t="s">
        <v>668</v>
      </c>
      <c r="B5892" t="s">
        <v>271</v>
      </c>
      <c r="C5892" s="2">
        <f>HYPERLINK("https://sao.dolgi.msk.ru/account/1404115933/", 1404115933)</f>
        <v>1404115933</v>
      </c>
      <c r="D5892">
        <v>0</v>
      </c>
    </row>
    <row r="5893" spans="1:4" hidden="1" x14ac:dyDescent="0.25">
      <c r="A5893" t="s">
        <v>668</v>
      </c>
      <c r="B5893" t="s">
        <v>272</v>
      </c>
      <c r="C5893" s="2">
        <f>HYPERLINK("https://sao.dolgi.msk.ru/account/1404115546/", 1404115546)</f>
        <v>1404115546</v>
      </c>
      <c r="D5893">
        <v>-2577.4699999999998</v>
      </c>
    </row>
    <row r="5894" spans="1:4" hidden="1" x14ac:dyDescent="0.25">
      <c r="A5894" t="s">
        <v>668</v>
      </c>
      <c r="B5894" t="s">
        <v>273</v>
      </c>
      <c r="C5894" s="2">
        <f>HYPERLINK("https://sao.dolgi.msk.ru/account/1404115802/", 1404115802)</f>
        <v>1404115802</v>
      </c>
      <c r="D5894">
        <v>-6487.97</v>
      </c>
    </row>
    <row r="5895" spans="1:4" x14ac:dyDescent="0.25">
      <c r="A5895" t="s">
        <v>668</v>
      </c>
      <c r="B5895" t="s">
        <v>274</v>
      </c>
      <c r="C5895" s="2">
        <f>HYPERLINK("https://sao.dolgi.msk.ru/account/1404115829/", 1404115829)</f>
        <v>1404115829</v>
      </c>
      <c r="D5895">
        <v>1401.87</v>
      </c>
    </row>
    <row r="5896" spans="1:4" x14ac:dyDescent="0.25">
      <c r="A5896" t="s">
        <v>668</v>
      </c>
      <c r="B5896" t="s">
        <v>275</v>
      </c>
      <c r="C5896" s="2">
        <f>HYPERLINK("https://sao.dolgi.msk.ru/account/1404116223/", 1404116223)</f>
        <v>1404116223</v>
      </c>
      <c r="D5896">
        <v>237</v>
      </c>
    </row>
    <row r="5897" spans="1:4" hidden="1" x14ac:dyDescent="0.25">
      <c r="A5897" t="s">
        <v>668</v>
      </c>
      <c r="B5897" t="s">
        <v>276</v>
      </c>
      <c r="C5897" s="2">
        <f>HYPERLINK("https://sao.dolgi.msk.ru/account/1404115941/", 1404115941)</f>
        <v>1404115941</v>
      </c>
      <c r="D5897">
        <v>-2847.79</v>
      </c>
    </row>
    <row r="5898" spans="1:4" x14ac:dyDescent="0.25">
      <c r="A5898" t="s">
        <v>668</v>
      </c>
      <c r="B5898" t="s">
        <v>277</v>
      </c>
      <c r="C5898" s="2">
        <f>HYPERLINK("https://sao.dolgi.msk.ru/account/1404116426/", 1404116426)</f>
        <v>1404116426</v>
      </c>
      <c r="D5898">
        <v>855</v>
      </c>
    </row>
    <row r="5899" spans="1:4" hidden="1" x14ac:dyDescent="0.25">
      <c r="A5899" t="s">
        <v>668</v>
      </c>
      <c r="B5899" t="s">
        <v>278</v>
      </c>
      <c r="C5899" s="2">
        <f>HYPERLINK("https://sao.dolgi.msk.ru/account/1404116434/", 1404116434)</f>
        <v>1404116434</v>
      </c>
      <c r="D5899">
        <v>-2489.09</v>
      </c>
    </row>
    <row r="5900" spans="1:4" hidden="1" x14ac:dyDescent="0.25">
      <c r="A5900" t="s">
        <v>668</v>
      </c>
      <c r="B5900" t="s">
        <v>279</v>
      </c>
      <c r="C5900" s="2">
        <f>HYPERLINK("https://sao.dolgi.msk.ru/account/1404115968/", 1404115968)</f>
        <v>1404115968</v>
      </c>
      <c r="D5900">
        <v>-131.57</v>
      </c>
    </row>
    <row r="5901" spans="1:4" hidden="1" x14ac:dyDescent="0.25">
      <c r="A5901" t="s">
        <v>668</v>
      </c>
      <c r="B5901" t="s">
        <v>280</v>
      </c>
      <c r="C5901" s="2">
        <f>HYPERLINK("https://sao.dolgi.msk.ru/account/1404116231/", 1404116231)</f>
        <v>1404116231</v>
      </c>
      <c r="D5901">
        <v>-3578.47</v>
      </c>
    </row>
    <row r="5902" spans="1:4" hidden="1" x14ac:dyDescent="0.25">
      <c r="A5902" t="s">
        <v>668</v>
      </c>
      <c r="B5902" t="s">
        <v>281</v>
      </c>
      <c r="C5902" s="2">
        <f>HYPERLINK("https://sao.dolgi.msk.ru/account/1404115976/", 1404115976)</f>
        <v>1404115976</v>
      </c>
      <c r="D5902">
        <v>-2688.35</v>
      </c>
    </row>
    <row r="5903" spans="1:4" hidden="1" x14ac:dyDescent="0.25">
      <c r="A5903" t="s">
        <v>668</v>
      </c>
      <c r="B5903" t="s">
        <v>282</v>
      </c>
      <c r="C5903" s="2">
        <f>HYPERLINK("https://sao.dolgi.msk.ru/account/1404115618/", 1404115618)</f>
        <v>1404115618</v>
      </c>
      <c r="D5903">
        <v>-1186.26</v>
      </c>
    </row>
    <row r="5904" spans="1:4" x14ac:dyDescent="0.25">
      <c r="A5904" t="s">
        <v>669</v>
      </c>
      <c r="B5904" t="s">
        <v>283</v>
      </c>
      <c r="C5904" s="2">
        <f>HYPERLINK("https://sao.dolgi.msk.ru/account/1404116565/", 1404116565)</f>
        <v>1404116565</v>
      </c>
      <c r="D5904">
        <v>2512.11</v>
      </c>
    </row>
    <row r="5905" spans="1:4" x14ac:dyDescent="0.25">
      <c r="A5905" t="s">
        <v>669</v>
      </c>
      <c r="B5905" t="s">
        <v>284</v>
      </c>
      <c r="C5905" s="2">
        <f>HYPERLINK("https://sao.dolgi.msk.ru/account/1404117269/", 1404117269)</f>
        <v>1404117269</v>
      </c>
      <c r="D5905">
        <v>1998.26</v>
      </c>
    </row>
    <row r="5906" spans="1:4" x14ac:dyDescent="0.25">
      <c r="A5906" t="s">
        <v>669</v>
      </c>
      <c r="B5906" t="s">
        <v>285</v>
      </c>
      <c r="C5906" s="2">
        <f>HYPERLINK("https://sao.dolgi.msk.ru/account/1404117031/", 1404117031)</f>
        <v>1404117031</v>
      </c>
      <c r="D5906">
        <v>1207.51</v>
      </c>
    </row>
    <row r="5907" spans="1:4" hidden="1" x14ac:dyDescent="0.25">
      <c r="A5907" t="s">
        <v>669</v>
      </c>
      <c r="B5907" t="s">
        <v>286</v>
      </c>
      <c r="C5907" s="2">
        <f>HYPERLINK("https://sao.dolgi.msk.ru/account/1404116573/", 1404116573)</f>
        <v>1404116573</v>
      </c>
      <c r="D5907">
        <v>0</v>
      </c>
    </row>
    <row r="5908" spans="1:4" hidden="1" x14ac:dyDescent="0.25">
      <c r="A5908" t="s">
        <v>669</v>
      </c>
      <c r="B5908" t="s">
        <v>287</v>
      </c>
      <c r="C5908" s="2">
        <f>HYPERLINK("https://sao.dolgi.msk.ru/account/1404116792/", 1404116792)</f>
        <v>1404116792</v>
      </c>
      <c r="D5908">
        <v>-3192.82</v>
      </c>
    </row>
    <row r="5909" spans="1:4" x14ac:dyDescent="0.25">
      <c r="A5909" t="s">
        <v>669</v>
      </c>
      <c r="B5909" t="s">
        <v>288</v>
      </c>
      <c r="C5909" s="2">
        <f>HYPERLINK("https://sao.dolgi.msk.ru/account/1404116688/", 1404116688)</f>
        <v>1404116688</v>
      </c>
      <c r="D5909">
        <v>3327.64</v>
      </c>
    </row>
    <row r="5910" spans="1:4" hidden="1" x14ac:dyDescent="0.25">
      <c r="A5910" t="s">
        <v>669</v>
      </c>
      <c r="B5910" t="s">
        <v>289</v>
      </c>
      <c r="C5910" s="2">
        <f>HYPERLINK("https://sao.dolgi.msk.ru/account/1404117111/", 1404117111)</f>
        <v>1404117111</v>
      </c>
      <c r="D5910">
        <v>-6812.7</v>
      </c>
    </row>
    <row r="5911" spans="1:4" x14ac:dyDescent="0.25">
      <c r="A5911" t="s">
        <v>669</v>
      </c>
      <c r="B5911" t="s">
        <v>290</v>
      </c>
      <c r="C5911" s="2">
        <f>HYPERLINK("https://sao.dolgi.msk.ru/account/1404116581/", 1404116581)</f>
        <v>1404116581</v>
      </c>
      <c r="D5911">
        <v>6068.07</v>
      </c>
    </row>
    <row r="5912" spans="1:4" hidden="1" x14ac:dyDescent="0.25">
      <c r="A5912" t="s">
        <v>669</v>
      </c>
      <c r="B5912" t="s">
        <v>291</v>
      </c>
      <c r="C5912" s="2">
        <f>HYPERLINK("https://sao.dolgi.msk.ru/account/1404117277/", 1404117277)</f>
        <v>1404117277</v>
      </c>
      <c r="D5912">
        <v>-709.61</v>
      </c>
    </row>
    <row r="5913" spans="1:4" x14ac:dyDescent="0.25">
      <c r="A5913" t="s">
        <v>669</v>
      </c>
      <c r="B5913" t="s">
        <v>292</v>
      </c>
      <c r="C5913" s="2">
        <f>HYPERLINK("https://sao.dolgi.msk.ru/account/1404117138/", 1404117138)</f>
        <v>1404117138</v>
      </c>
      <c r="D5913">
        <v>246</v>
      </c>
    </row>
    <row r="5914" spans="1:4" hidden="1" x14ac:dyDescent="0.25">
      <c r="A5914" t="s">
        <v>669</v>
      </c>
      <c r="B5914" t="s">
        <v>293</v>
      </c>
      <c r="C5914" s="2">
        <f>HYPERLINK("https://sao.dolgi.msk.ru/account/1404116602/", 1404116602)</f>
        <v>1404116602</v>
      </c>
      <c r="D5914">
        <v>-1855.6</v>
      </c>
    </row>
    <row r="5915" spans="1:4" hidden="1" x14ac:dyDescent="0.25">
      <c r="A5915" t="s">
        <v>669</v>
      </c>
      <c r="B5915" t="s">
        <v>294</v>
      </c>
      <c r="C5915" s="2">
        <f>HYPERLINK("https://sao.dolgi.msk.ru/account/1404116805/", 1404116805)</f>
        <v>1404116805</v>
      </c>
      <c r="D5915">
        <v>-6859.59</v>
      </c>
    </row>
    <row r="5916" spans="1:4" hidden="1" x14ac:dyDescent="0.25">
      <c r="A5916" t="s">
        <v>669</v>
      </c>
      <c r="B5916" t="s">
        <v>295</v>
      </c>
      <c r="C5916" s="2">
        <f>HYPERLINK("https://sao.dolgi.msk.ru/account/1404117146/", 1404117146)</f>
        <v>1404117146</v>
      </c>
      <c r="D5916">
        <v>-30383.86</v>
      </c>
    </row>
    <row r="5917" spans="1:4" hidden="1" x14ac:dyDescent="0.25">
      <c r="A5917" t="s">
        <v>669</v>
      </c>
      <c r="B5917" t="s">
        <v>296</v>
      </c>
      <c r="C5917" s="2">
        <f>HYPERLINK("https://sao.dolgi.msk.ru/account/1404117285/", 1404117285)</f>
        <v>1404117285</v>
      </c>
      <c r="D5917">
        <v>-3162.7</v>
      </c>
    </row>
    <row r="5918" spans="1:4" hidden="1" x14ac:dyDescent="0.25">
      <c r="A5918" t="s">
        <v>669</v>
      </c>
      <c r="B5918" t="s">
        <v>297</v>
      </c>
      <c r="C5918" s="2">
        <f>HYPERLINK("https://sao.dolgi.msk.ru/account/1404116629/", 1404116629)</f>
        <v>1404116629</v>
      </c>
      <c r="D5918">
        <v>-5299.3</v>
      </c>
    </row>
    <row r="5919" spans="1:4" x14ac:dyDescent="0.25">
      <c r="A5919" t="s">
        <v>669</v>
      </c>
      <c r="B5919" t="s">
        <v>298</v>
      </c>
      <c r="C5919" s="2">
        <f>HYPERLINK("https://sao.dolgi.msk.ru/account/1404116442/", 1404116442)</f>
        <v>1404116442</v>
      </c>
      <c r="D5919">
        <v>102</v>
      </c>
    </row>
    <row r="5920" spans="1:4" hidden="1" x14ac:dyDescent="0.25">
      <c r="A5920" t="s">
        <v>669</v>
      </c>
      <c r="B5920" t="s">
        <v>299</v>
      </c>
      <c r="C5920" s="2">
        <f>HYPERLINK("https://sao.dolgi.msk.ru/account/1404116813/", 1404116813)</f>
        <v>1404116813</v>
      </c>
      <c r="D5920">
        <v>-3957.98</v>
      </c>
    </row>
    <row r="5921" spans="1:4" hidden="1" x14ac:dyDescent="0.25">
      <c r="A5921" t="s">
        <v>669</v>
      </c>
      <c r="B5921" t="s">
        <v>300</v>
      </c>
      <c r="C5921" s="2">
        <f>HYPERLINK("https://sao.dolgi.msk.ru/account/1404116637/", 1404116637)</f>
        <v>1404116637</v>
      </c>
      <c r="D5921">
        <v>-3464.9</v>
      </c>
    </row>
    <row r="5922" spans="1:4" hidden="1" x14ac:dyDescent="0.25">
      <c r="A5922" t="s">
        <v>669</v>
      </c>
      <c r="B5922" t="s">
        <v>301</v>
      </c>
      <c r="C5922" s="2">
        <f>HYPERLINK("https://sao.dolgi.msk.ru/account/1404117293/", 1404117293)</f>
        <v>1404117293</v>
      </c>
      <c r="D5922">
        <v>-5829.15</v>
      </c>
    </row>
    <row r="5923" spans="1:4" hidden="1" x14ac:dyDescent="0.25">
      <c r="A5923" t="s">
        <v>669</v>
      </c>
      <c r="B5923" t="s">
        <v>302</v>
      </c>
      <c r="C5923" s="2">
        <f>HYPERLINK("https://sao.dolgi.msk.ru/account/1404117058/", 1404117058)</f>
        <v>1404117058</v>
      </c>
      <c r="D5923">
        <v>-3111.23</v>
      </c>
    </row>
    <row r="5924" spans="1:4" x14ac:dyDescent="0.25">
      <c r="A5924" t="s">
        <v>669</v>
      </c>
      <c r="B5924" t="s">
        <v>303</v>
      </c>
      <c r="C5924" s="2">
        <f>HYPERLINK("https://sao.dolgi.msk.ru/account/1404117154/", 1404117154)</f>
        <v>1404117154</v>
      </c>
      <c r="D5924">
        <v>5753.57</v>
      </c>
    </row>
    <row r="5925" spans="1:4" x14ac:dyDescent="0.25">
      <c r="A5925" t="s">
        <v>669</v>
      </c>
      <c r="B5925" t="s">
        <v>304</v>
      </c>
      <c r="C5925" s="2">
        <f>HYPERLINK("https://sao.dolgi.msk.ru/account/1404116696/", 1404116696)</f>
        <v>1404116696</v>
      </c>
      <c r="D5925">
        <v>4240.01</v>
      </c>
    </row>
    <row r="5926" spans="1:4" hidden="1" x14ac:dyDescent="0.25">
      <c r="A5926" t="s">
        <v>669</v>
      </c>
      <c r="B5926" t="s">
        <v>305</v>
      </c>
      <c r="C5926" s="2">
        <f>HYPERLINK("https://sao.dolgi.msk.ru/account/1404116821/", 1404116821)</f>
        <v>1404116821</v>
      </c>
      <c r="D5926">
        <v>-22.08</v>
      </c>
    </row>
    <row r="5927" spans="1:4" hidden="1" x14ac:dyDescent="0.25">
      <c r="A5927" t="s">
        <v>669</v>
      </c>
      <c r="B5927" t="s">
        <v>306</v>
      </c>
      <c r="C5927" s="2">
        <f>HYPERLINK("https://sao.dolgi.msk.ru/account/1404116645/", 1404116645)</f>
        <v>1404116645</v>
      </c>
      <c r="D5927">
        <v>-6196.48</v>
      </c>
    </row>
    <row r="5928" spans="1:4" hidden="1" x14ac:dyDescent="0.25">
      <c r="A5928" t="s">
        <v>669</v>
      </c>
      <c r="B5928" t="s">
        <v>307</v>
      </c>
      <c r="C5928" s="2">
        <f>HYPERLINK("https://sao.dolgi.msk.ru/account/1404116848/", 1404116848)</f>
        <v>1404116848</v>
      </c>
      <c r="D5928">
        <v>0</v>
      </c>
    </row>
    <row r="5929" spans="1:4" hidden="1" x14ac:dyDescent="0.25">
      <c r="A5929" t="s">
        <v>669</v>
      </c>
      <c r="B5929" t="s">
        <v>308</v>
      </c>
      <c r="C5929" s="2">
        <f>HYPERLINK("https://sao.dolgi.msk.ru/account/1404116709/", 1404116709)</f>
        <v>1404116709</v>
      </c>
      <c r="D5929">
        <v>0</v>
      </c>
    </row>
    <row r="5930" spans="1:4" hidden="1" x14ac:dyDescent="0.25">
      <c r="A5930" t="s">
        <v>669</v>
      </c>
      <c r="B5930" t="s">
        <v>309</v>
      </c>
      <c r="C5930" s="2">
        <f>HYPERLINK("https://sao.dolgi.msk.ru/account/1404116717/", 1404116717)</f>
        <v>1404116717</v>
      </c>
      <c r="D5930">
        <v>0</v>
      </c>
    </row>
    <row r="5931" spans="1:4" x14ac:dyDescent="0.25">
      <c r="A5931" t="s">
        <v>669</v>
      </c>
      <c r="B5931" t="s">
        <v>310</v>
      </c>
      <c r="C5931" s="2">
        <f>HYPERLINK("https://sao.dolgi.msk.ru/account/1404116653/", 1404116653)</f>
        <v>1404116653</v>
      </c>
      <c r="D5931">
        <v>1173.74</v>
      </c>
    </row>
    <row r="5932" spans="1:4" hidden="1" x14ac:dyDescent="0.25">
      <c r="A5932" t="s">
        <v>669</v>
      </c>
      <c r="B5932" t="s">
        <v>311</v>
      </c>
      <c r="C5932" s="2">
        <f>HYPERLINK("https://sao.dolgi.msk.ru/account/1404117306/", 1404117306)</f>
        <v>1404117306</v>
      </c>
      <c r="D5932">
        <v>-2291</v>
      </c>
    </row>
    <row r="5933" spans="1:4" hidden="1" x14ac:dyDescent="0.25">
      <c r="A5933" t="s">
        <v>669</v>
      </c>
      <c r="B5933" t="s">
        <v>312</v>
      </c>
      <c r="C5933" s="2">
        <f>HYPERLINK("https://sao.dolgi.msk.ru/account/1404116725/", 1404116725)</f>
        <v>1404116725</v>
      </c>
      <c r="D5933">
        <v>-4847.58</v>
      </c>
    </row>
    <row r="5934" spans="1:4" hidden="1" x14ac:dyDescent="0.25">
      <c r="A5934" t="s">
        <v>669</v>
      </c>
      <c r="B5934" t="s">
        <v>313</v>
      </c>
      <c r="C5934" s="2">
        <f>HYPERLINK("https://sao.dolgi.msk.ru/account/1404116469/", 1404116469)</f>
        <v>1404116469</v>
      </c>
      <c r="D5934">
        <v>-3978.39</v>
      </c>
    </row>
    <row r="5935" spans="1:4" hidden="1" x14ac:dyDescent="0.25">
      <c r="A5935" t="s">
        <v>669</v>
      </c>
      <c r="B5935" t="s">
        <v>314</v>
      </c>
      <c r="C5935" s="2">
        <f>HYPERLINK("https://sao.dolgi.msk.ru/account/1404117066/", 1404117066)</f>
        <v>1404117066</v>
      </c>
      <c r="D5935">
        <v>-1763.89</v>
      </c>
    </row>
    <row r="5936" spans="1:4" hidden="1" x14ac:dyDescent="0.25">
      <c r="A5936" t="s">
        <v>669</v>
      </c>
      <c r="B5936" t="s">
        <v>315</v>
      </c>
      <c r="C5936" s="2">
        <f>HYPERLINK("https://sao.dolgi.msk.ru/account/1404116733/", 1404116733)</f>
        <v>1404116733</v>
      </c>
      <c r="D5936">
        <v>-3156.42</v>
      </c>
    </row>
    <row r="5937" spans="1:4" hidden="1" x14ac:dyDescent="0.25">
      <c r="A5937" t="s">
        <v>669</v>
      </c>
      <c r="B5937" t="s">
        <v>316</v>
      </c>
      <c r="C5937" s="2">
        <f>HYPERLINK("https://sao.dolgi.msk.ru/account/1404116856/", 1404116856)</f>
        <v>1404116856</v>
      </c>
      <c r="D5937">
        <v>-3843.56</v>
      </c>
    </row>
    <row r="5938" spans="1:4" hidden="1" x14ac:dyDescent="0.25">
      <c r="A5938" t="s">
        <v>669</v>
      </c>
      <c r="B5938" t="s">
        <v>317</v>
      </c>
      <c r="C5938" s="2">
        <f>HYPERLINK("https://sao.dolgi.msk.ru/account/1404117162/", 1404117162)</f>
        <v>1404117162</v>
      </c>
      <c r="D5938">
        <v>-2677.53</v>
      </c>
    </row>
    <row r="5939" spans="1:4" hidden="1" x14ac:dyDescent="0.25">
      <c r="A5939" t="s">
        <v>669</v>
      </c>
      <c r="B5939" t="s">
        <v>318</v>
      </c>
      <c r="C5939" s="2">
        <f>HYPERLINK("https://sao.dolgi.msk.ru/account/1404117314/", 1404117314)</f>
        <v>1404117314</v>
      </c>
      <c r="D5939">
        <v>-4432.53</v>
      </c>
    </row>
    <row r="5940" spans="1:4" hidden="1" x14ac:dyDescent="0.25">
      <c r="A5940" t="s">
        <v>669</v>
      </c>
      <c r="B5940" t="s">
        <v>319</v>
      </c>
      <c r="C5940" s="2">
        <f>HYPERLINK("https://sao.dolgi.msk.ru/account/1404116477/", 1404116477)</f>
        <v>1404116477</v>
      </c>
      <c r="D5940">
        <v>0</v>
      </c>
    </row>
    <row r="5941" spans="1:4" hidden="1" x14ac:dyDescent="0.25">
      <c r="A5941" t="s">
        <v>669</v>
      </c>
      <c r="B5941" t="s">
        <v>422</v>
      </c>
      <c r="C5941" s="2">
        <f>HYPERLINK("https://sao.dolgi.msk.ru/account/1404116485/", 1404116485)</f>
        <v>1404116485</v>
      </c>
      <c r="D5941">
        <v>0</v>
      </c>
    </row>
    <row r="5942" spans="1:4" hidden="1" x14ac:dyDescent="0.25">
      <c r="A5942" t="s">
        <v>669</v>
      </c>
      <c r="B5942" t="s">
        <v>423</v>
      </c>
      <c r="C5942" s="2">
        <f>HYPERLINK("https://sao.dolgi.msk.ru/account/1404116741/", 1404116741)</f>
        <v>1404116741</v>
      </c>
      <c r="D5942">
        <v>-1858.53</v>
      </c>
    </row>
    <row r="5943" spans="1:4" hidden="1" x14ac:dyDescent="0.25">
      <c r="A5943" t="s">
        <v>669</v>
      </c>
      <c r="B5943" t="s">
        <v>424</v>
      </c>
      <c r="C5943" s="2">
        <f>HYPERLINK("https://sao.dolgi.msk.ru/account/1404117322/", 1404117322)</f>
        <v>1404117322</v>
      </c>
      <c r="D5943">
        <v>-4286.76</v>
      </c>
    </row>
    <row r="5944" spans="1:4" hidden="1" x14ac:dyDescent="0.25">
      <c r="A5944" t="s">
        <v>669</v>
      </c>
      <c r="B5944" t="s">
        <v>425</v>
      </c>
      <c r="C5944" s="2">
        <f>HYPERLINK("https://sao.dolgi.msk.ru/account/1404116995/", 1404116995)</f>
        <v>1404116995</v>
      </c>
      <c r="D5944">
        <v>-4323.1400000000003</v>
      </c>
    </row>
    <row r="5945" spans="1:4" hidden="1" x14ac:dyDescent="0.25">
      <c r="A5945" t="s">
        <v>669</v>
      </c>
      <c r="B5945" t="s">
        <v>426</v>
      </c>
      <c r="C5945" s="2">
        <f>HYPERLINK("https://sao.dolgi.msk.ru/account/1404117007/", 1404117007)</f>
        <v>1404117007</v>
      </c>
      <c r="D5945">
        <v>-4298.58</v>
      </c>
    </row>
    <row r="5946" spans="1:4" x14ac:dyDescent="0.25">
      <c r="A5946" t="s">
        <v>669</v>
      </c>
      <c r="B5946" t="s">
        <v>427</v>
      </c>
      <c r="C5946" s="2">
        <f>HYPERLINK("https://sao.dolgi.msk.ru/account/1404117189/", 1404117189)</f>
        <v>1404117189</v>
      </c>
      <c r="D5946">
        <v>392.81</v>
      </c>
    </row>
    <row r="5947" spans="1:4" x14ac:dyDescent="0.25">
      <c r="A5947" t="s">
        <v>669</v>
      </c>
      <c r="B5947" t="s">
        <v>428</v>
      </c>
      <c r="C5947" s="2">
        <f>HYPERLINK("https://sao.dolgi.msk.ru/account/1404117349/", 1404117349)</f>
        <v>1404117349</v>
      </c>
      <c r="D5947">
        <v>2058.6</v>
      </c>
    </row>
    <row r="5948" spans="1:4" hidden="1" x14ac:dyDescent="0.25">
      <c r="A5948" t="s">
        <v>669</v>
      </c>
      <c r="B5948" t="s">
        <v>321</v>
      </c>
      <c r="C5948" s="2">
        <f>HYPERLINK("https://sao.dolgi.msk.ru/account/1404116864/", 1404116864)</f>
        <v>1404116864</v>
      </c>
      <c r="D5948">
        <v>0</v>
      </c>
    </row>
    <row r="5949" spans="1:4" hidden="1" x14ac:dyDescent="0.25">
      <c r="A5949" t="s">
        <v>669</v>
      </c>
      <c r="B5949" t="s">
        <v>322</v>
      </c>
      <c r="C5949" s="2">
        <f>HYPERLINK("https://sao.dolgi.msk.ru/account/1404117015/", 1404117015)</f>
        <v>1404117015</v>
      </c>
      <c r="D5949">
        <v>-4556.12</v>
      </c>
    </row>
    <row r="5950" spans="1:4" hidden="1" x14ac:dyDescent="0.25">
      <c r="A5950" t="s">
        <v>669</v>
      </c>
      <c r="B5950" t="s">
        <v>322</v>
      </c>
      <c r="C5950" s="2">
        <f>HYPERLINK("https://sao.dolgi.msk.ru/account/1404117242/", 1404117242)</f>
        <v>1404117242</v>
      </c>
      <c r="D5950">
        <v>-3003.33</v>
      </c>
    </row>
    <row r="5951" spans="1:4" hidden="1" x14ac:dyDescent="0.25">
      <c r="A5951" t="s">
        <v>669</v>
      </c>
      <c r="B5951" t="s">
        <v>323</v>
      </c>
      <c r="C5951" s="2">
        <f>HYPERLINK("https://sao.dolgi.msk.ru/account/1404117197/", 1404117197)</f>
        <v>1404117197</v>
      </c>
      <c r="D5951">
        <v>-4315.51</v>
      </c>
    </row>
    <row r="5952" spans="1:4" x14ac:dyDescent="0.25">
      <c r="A5952" t="s">
        <v>669</v>
      </c>
      <c r="B5952" t="s">
        <v>324</v>
      </c>
      <c r="C5952" s="2">
        <f>HYPERLINK("https://sao.dolgi.msk.ru/account/1404116493/", 1404116493)</f>
        <v>1404116493</v>
      </c>
      <c r="D5952">
        <v>374.03</v>
      </c>
    </row>
    <row r="5953" spans="1:4" x14ac:dyDescent="0.25">
      <c r="A5953" t="s">
        <v>669</v>
      </c>
      <c r="B5953" t="s">
        <v>325</v>
      </c>
      <c r="C5953" s="2">
        <f>HYPERLINK("https://sao.dolgi.msk.ru/account/1404117074/", 1404117074)</f>
        <v>1404117074</v>
      </c>
      <c r="D5953">
        <v>7629.52</v>
      </c>
    </row>
    <row r="5954" spans="1:4" hidden="1" x14ac:dyDescent="0.25">
      <c r="A5954" t="s">
        <v>669</v>
      </c>
      <c r="B5954" t="s">
        <v>326</v>
      </c>
      <c r="C5954" s="2">
        <f>HYPERLINK("https://sao.dolgi.msk.ru/account/1404116506/", 1404116506)</f>
        <v>1404116506</v>
      </c>
      <c r="D5954">
        <v>-6068.91</v>
      </c>
    </row>
    <row r="5955" spans="1:4" x14ac:dyDescent="0.25">
      <c r="A5955" t="s">
        <v>669</v>
      </c>
      <c r="B5955" t="s">
        <v>327</v>
      </c>
      <c r="C5955" s="2">
        <f>HYPERLINK("https://sao.dolgi.msk.ru/account/1404116768/", 1404116768)</f>
        <v>1404116768</v>
      </c>
      <c r="D5955">
        <v>482.58</v>
      </c>
    </row>
    <row r="5956" spans="1:4" hidden="1" x14ac:dyDescent="0.25">
      <c r="A5956" t="s">
        <v>669</v>
      </c>
      <c r="B5956" t="s">
        <v>328</v>
      </c>
      <c r="C5956" s="2">
        <f>HYPERLINK("https://sao.dolgi.msk.ru/account/1404116872/", 1404116872)</f>
        <v>1404116872</v>
      </c>
      <c r="D5956">
        <v>-3581.06</v>
      </c>
    </row>
    <row r="5957" spans="1:4" x14ac:dyDescent="0.25">
      <c r="A5957" t="s">
        <v>669</v>
      </c>
      <c r="B5957" t="s">
        <v>329</v>
      </c>
      <c r="C5957" s="2">
        <f>HYPERLINK("https://sao.dolgi.msk.ru/account/1404116776/", 1404116776)</f>
        <v>1404116776</v>
      </c>
      <c r="D5957">
        <v>5559.89</v>
      </c>
    </row>
    <row r="5958" spans="1:4" hidden="1" x14ac:dyDescent="0.25">
      <c r="A5958" t="s">
        <v>669</v>
      </c>
      <c r="B5958" t="s">
        <v>330</v>
      </c>
      <c r="C5958" s="2">
        <f>HYPERLINK("https://sao.dolgi.msk.ru/account/1404116899/", 1404116899)</f>
        <v>1404116899</v>
      </c>
      <c r="D5958">
        <v>-2967.25</v>
      </c>
    </row>
    <row r="5959" spans="1:4" hidden="1" x14ac:dyDescent="0.25">
      <c r="A5959" t="s">
        <v>669</v>
      </c>
      <c r="B5959" t="s">
        <v>331</v>
      </c>
      <c r="C5959" s="2">
        <f>HYPERLINK("https://sao.dolgi.msk.ru/account/1404116901/", 1404116901)</f>
        <v>1404116901</v>
      </c>
      <c r="D5959">
        <v>-6541.12</v>
      </c>
    </row>
    <row r="5960" spans="1:4" hidden="1" x14ac:dyDescent="0.25">
      <c r="A5960" t="s">
        <v>669</v>
      </c>
      <c r="B5960" t="s">
        <v>332</v>
      </c>
      <c r="C5960" s="2">
        <f>HYPERLINK("https://sao.dolgi.msk.ru/account/1404117357/", 1404117357)</f>
        <v>1404117357</v>
      </c>
      <c r="D5960">
        <v>-9552.16</v>
      </c>
    </row>
    <row r="5961" spans="1:4" hidden="1" x14ac:dyDescent="0.25">
      <c r="A5961" t="s">
        <v>669</v>
      </c>
      <c r="B5961" t="s">
        <v>333</v>
      </c>
      <c r="C5961" s="2">
        <f>HYPERLINK("https://sao.dolgi.msk.ru/account/1404116514/", 1404116514)</f>
        <v>1404116514</v>
      </c>
      <c r="D5961">
        <v>-3091.92</v>
      </c>
    </row>
    <row r="5962" spans="1:4" hidden="1" x14ac:dyDescent="0.25">
      <c r="A5962" t="s">
        <v>669</v>
      </c>
      <c r="B5962" t="s">
        <v>334</v>
      </c>
      <c r="C5962" s="2">
        <f>HYPERLINK("https://sao.dolgi.msk.ru/account/1404116522/", 1404116522)</f>
        <v>1404116522</v>
      </c>
      <c r="D5962">
        <v>-5175.8100000000004</v>
      </c>
    </row>
    <row r="5963" spans="1:4" hidden="1" x14ac:dyDescent="0.25">
      <c r="A5963" t="s">
        <v>669</v>
      </c>
      <c r="B5963" t="s">
        <v>335</v>
      </c>
      <c r="C5963" s="2">
        <f>HYPERLINK("https://sao.dolgi.msk.ru/account/1404117365/", 1404117365)</f>
        <v>1404117365</v>
      </c>
      <c r="D5963">
        <v>-1545</v>
      </c>
    </row>
    <row r="5964" spans="1:4" x14ac:dyDescent="0.25">
      <c r="A5964" t="s">
        <v>669</v>
      </c>
      <c r="B5964" t="s">
        <v>336</v>
      </c>
      <c r="C5964" s="2">
        <f>HYPERLINK("https://sao.dolgi.msk.ru/account/1404116928/", 1404116928)</f>
        <v>1404116928</v>
      </c>
      <c r="D5964">
        <v>6321.96</v>
      </c>
    </row>
    <row r="5965" spans="1:4" hidden="1" x14ac:dyDescent="0.25">
      <c r="A5965" t="s">
        <v>669</v>
      </c>
      <c r="B5965" t="s">
        <v>337</v>
      </c>
      <c r="C5965" s="2">
        <f>HYPERLINK("https://sao.dolgi.msk.ru/account/1404117082/", 1404117082)</f>
        <v>1404117082</v>
      </c>
      <c r="D5965">
        <v>-4437.32</v>
      </c>
    </row>
    <row r="5966" spans="1:4" x14ac:dyDescent="0.25">
      <c r="A5966" t="s">
        <v>669</v>
      </c>
      <c r="B5966" t="s">
        <v>338</v>
      </c>
      <c r="C5966" s="2">
        <f>HYPERLINK("https://sao.dolgi.msk.ru/account/1404117103/", 1404117103)</f>
        <v>1404117103</v>
      </c>
      <c r="D5966">
        <v>2304.87</v>
      </c>
    </row>
    <row r="5967" spans="1:4" hidden="1" x14ac:dyDescent="0.25">
      <c r="A5967" t="s">
        <v>669</v>
      </c>
      <c r="B5967" t="s">
        <v>339</v>
      </c>
      <c r="C5967" s="2">
        <f>HYPERLINK("https://sao.dolgi.msk.ru/account/1404117373/", 1404117373)</f>
        <v>1404117373</v>
      </c>
      <c r="D5967">
        <v>-3978.82</v>
      </c>
    </row>
    <row r="5968" spans="1:4" x14ac:dyDescent="0.25">
      <c r="A5968" t="s">
        <v>669</v>
      </c>
      <c r="B5968" t="s">
        <v>340</v>
      </c>
      <c r="C5968" s="2">
        <f>HYPERLINK("https://sao.dolgi.msk.ru/account/1404117023/", 1404117023)</f>
        <v>1404117023</v>
      </c>
      <c r="D5968">
        <v>6933.58</v>
      </c>
    </row>
    <row r="5969" spans="1:4" hidden="1" x14ac:dyDescent="0.25">
      <c r="A5969" t="s">
        <v>669</v>
      </c>
      <c r="B5969" t="s">
        <v>341</v>
      </c>
      <c r="C5969" s="2">
        <f>HYPERLINK("https://sao.dolgi.msk.ru/account/1404116936/", 1404116936)</f>
        <v>1404116936</v>
      </c>
      <c r="D5969">
        <v>-654</v>
      </c>
    </row>
    <row r="5970" spans="1:4" hidden="1" x14ac:dyDescent="0.25">
      <c r="A5970" t="s">
        <v>669</v>
      </c>
      <c r="B5970" t="s">
        <v>342</v>
      </c>
      <c r="C5970" s="2">
        <f>HYPERLINK("https://sao.dolgi.msk.ru/account/1404117218/", 1404117218)</f>
        <v>1404117218</v>
      </c>
      <c r="D5970">
        <v>-5735.26</v>
      </c>
    </row>
    <row r="5971" spans="1:4" hidden="1" x14ac:dyDescent="0.25">
      <c r="A5971" t="s">
        <v>669</v>
      </c>
      <c r="B5971" t="s">
        <v>343</v>
      </c>
      <c r="C5971" s="2">
        <f>HYPERLINK("https://sao.dolgi.msk.ru/account/1404117226/", 1404117226)</f>
        <v>1404117226</v>
      </c>
      <c r="D5971">
        <v>-2480.12</v>
      </c>
    </row>
    <row r="5972" spans="1:4" hidden="1" x14ac:dyDescent="0.25">
      <c r="A5972" t="s">
        <v>669</v>
      </c>
      <c r="B5972" t="s">
        <v>344</v>
      </c>
      <c r="C5972" s="2">
        <f>HYPERLINK("https://sao.dolgi.msk.ru/account/1404117381/", 1404117381)</f>
        <v>1404117381</v>
      </c>
      <c r="D5972">
        <v>-2118.02</v>
      </c>
    </row>
    <row r="5973" spans="1:4" hidden="1" x14ac:dyDescent="0.25">
      <c r="A5973" t="s">
        <v>669</v>
      </c>
      <c r="B5973" t="s">
        <v>345</v>
      </c>
      <c r="C5973" s="2">
        <f>HYPERLINK("https://sao.dolgi.msk.ru/account/1404116944/", 1404116944)</f>
        <v>1404116944</v>
      </c>
      <c r="D5973">
        <v>-5780.16</v>
      </c>
    </row>
    <row r="5974" spans="1:4" hidden="1" x14ac:dyDescent="0.25">
      <c r="A5974" t="s">
        <v>669</v>
      </c>
      <c r="B5974" t="s">
        <v>346</v>
      </c>
      <c r="C5974" s="2">
        <f>HYPERLINK("https://sao.dolgi.msk.ru/account/1404116952/", 1404116952)</f>
        <v>1404116952</v>
      </c>
      <c r="D5974">
        <v>0</v>
      </c>
    </row>
    <row r="5975" spans="1:4" hidden="1" x14ac:dyDescent="0.25">
      <c r="A5975" t="s">
        <v>669</v>
      </c>
      <c r="B5975" t="s">
        <v>347</v>
      </c>
      <c r="C5975" s="2">
        <f>HYPERLINK("https://sao.dolgi.msk.ru/account/1404116979/", 1404116979)</f>
        <v>1404116979</v>
      </c>
      <c r="D5975">
        <v>-2761.88</v>
      </c>
    </row>
    <row r="5976" spans="1:4" hidden="1" x14ac:dyDescent="0.25">
      <c r="A5976" t="s">
        <v>669</v>
      </c>
      <c r="B5976" t="s">
        <v>348</v>
      </c>
      <c r="C5976" s="2">
        <f>HYPERLINK("https://sao.dolgi.msk.ru/account/1404117402/", 1404117402)</f>
        <v>1404117402</v>
      </c>
      <c r="D5976">
        <v>-4227.03</v>
      </c>
    </row>
    <row r="5977" spans="1:4" hidden="1" x14ac:dyDescent="0.25">
      <c r="A5977" t="s">
        <v>669</v>
      </c>
      <c r="B5977" t="s">
        <v>349</v>
      </c>
      <c r="C5977" s="2">
        <f>HYPERLINK("https://sao.dolgi.msk.ru/account/1404116661/", 1404116661)</f>
        <v>1404116661</v>
      </c>
      <c r="D5977">
        <v>-3739.3</v>
      </c>
    </row>
    <row r="5978" spans="1:4" hidden="1" x14ac:dyDescent="0.25">
      <c r="A5978" t="s">
        <v>669</v>
      </c>
      <c r="B5978" t="s">
        <v>350</v>
      </c>
      <c r="C5978" s="2">
        <f>HYPERLINK("https://sao.dolgi.msk.ru/account/1404117429/", 1404117429)</f>
        <v>1404117429</v>
      </c>
      <c r="D5978">
        <v>0</v>
      </c>
    </row>
    <row r="5979" spans="1:4" x14ac:dyDescent="0.25">
      <c r="A5979" t="s">
        <v>669</v>
      </c>
      <c r="B5979" t="s">
        <v>351</v>
      </c>
      <c r="C5979" s="2">
        <f>HYPERLINK("https://sao.dolgi.msk.ru/account/1404116549/", 1404116549)</f>
        <v>1404116549</v>
      </c>
      <c r="D5979">
        <v>950.84</v>
      </c>
    </row>
    <row r="5980" spans="1:4" x14ac:dyDescent="0.25">
      <c r="A5980" t="s">
        <v>669</v>
      </c>
      <c r="B5980" t="s">
        <v>352</v>
      </c>
      <c r="C5980" s="2">
        <f>HYPERLINK("https://sao.dolgi.msk.ru/account/1404116784/", 1404116784)</f>
        <v>1404116784</v>
      </c>
      <c r="D5980">
        <v>2747.04</v>
      </c>
    </row>
    <row r="5981" spans="1:4" x14ac:dyDescent="0.25">
      <c r="A5981" t="s">
        <v>669</v>
      </c>
      <c r="B5981" t="s">
        <v>353</v>
      </c>
      <c r="C5981" s="2">
        <f>HYPERLINK("https://sao.dolgi.msk.ru/account/1404154473/", 1404154473)</f>
        <v>1404154473</v>
      </c>
      <c r="D5981">
        <v>3199.54</v>
      </c>
    </row>
    <row r="5982" spans="1:4" hidden="1" x14ac:dyDescent="0.25">
      <c r="A5982" t="s">
        <v>669</v>
      </c>
      <c r="B5982" t="s">
        <v>354</v>
      </c>
      <c r="C5982" s="2">
        <f>HYPERLINK("https://sao.dolgi.msk.ru/account/1404117437/", 1404117437)</f>
        <v>1404117437</v>
      </c>
      <c r="D5982">
        <v>0</v>
      </c>
    </row>
    <row r="5983" spans="1:4" hidden="1" x14ac:dyDescent="0.25">
      <c r="A5983" t="s">
        <v>669</v>
      </c>
      <c r="B5983" t="s">
        <v>355</v>
      </c>
      <c r="C5983" s="2">
        <f>HYPERLINK("https://sao.dolgi.msk.ru/account/1404116987/", 1404116987)</f>
        <v>1404116987</v>
      </c>
      <c r="D5983">
        <v>-4275.8100000000004</v>
      </c>
    </row>
    <row r="5984" spans="1:4" hidden="1" x14ac:dyDescent="0.25">
      <c r="A5984" t="s">
        <v>669</v>
      </c>
      <c r="B5984" t="s">
        <v>356</v>
      </c>
      <c r="C5984" s="2">
        <f>HYPERLINK("https://sao.dolgi.msk.ru/account/1404116557/", 1404116557)</f>
        <v>1404116557</v>
      </c>
      <c r="D5984">
        <v>-3460.45</v>
      </c>
    </row>
    <row r="5985" spans="1:4" hidden="1" x14ac:dyDescent="0.25">
      <c r="A5985" t="s">
        <v>670</v>
      </c>
      <c r="B5985" t="s">
        <v>357</v>
      </c>
      <c r="C5985" s="2">
        <f>HYPERLINK("https://sao.dolgi.msk.ru/account/1404118122/", 1404118122)</f>
        <v>1404118122</v>
      </c>
      <c r="D5985">
        <v>-2939.34</v>
      </c>
    </row>
    <row r="5986" spans="1:4" hidden="1" x14ac:dyDescent="0.25">
      <c r="A5986" t="s">
        <v>670</v>
      </c>
      <c r="B5986" t="s">
        <v>358</v>
      </c>
      <c r="C5986" s="2">
        <f>HYPERLINK("https://sao.dolgi.msk.ru/account/1404118069/", 1404118069)</f>
        <v>1404118069</v>
      </c>
      <c r="D5986">
        <v>-3205.58</v>
      </c>
    </row>
    <row r="5987" spans="1:4" hidden="1" x14ac:dyDescent="0.25">
      <c r="A5987" t="s">
        <v>670</v>
      </c>
      <c r="B5987" t="s">
        <v>359</v>
      </c>
      <c r="C5987" s="2">
        <f>HYPERLINK("https://sao.dolgi.msk.ru/account/1404117699/", 1404117699)</f>
        <v>1404117699</v>
      </c>
      <c r="D5987">
        <v>-2396.38</v>
      </c>
    </row>
    <row r="5988" spans="1:4" hidden="1" x14ac:dyDescent="0.25">
      <c r="A5988" t="s">
        <v>670</v>
      </c>
      <c r="B5988" t="s">
        <v>360</v>
      </c>
      <c r="C5988" s="2">
        <f>HYPERLINK("https://sao.dolgi.msk.ru/account/1404117795/", 1404117795)</f>
        <v>1404117795</v>
      </c>
      <c r="D5988">
        <v>-2175.23</v>
      </c>
    </row>
    <row r="5989" spans="1:4" x14ac:dyDescent="0.25">
      <c r="A5989" t="s">
        <v>670</v>
      </c>
      <c r="B5989" t="s">
        <v>361</v>
      </c>
      <c r="C5989" s="2">
        <f>HYPERLINK("https://sao.dolgi.msk.ru/account/1404117525/", 1404117525)</f>
        <v>1404117525</v>
      </c>
      <c r="D5989">
        <v>26124.45</v>
      </c>
    </row>
    <row r="5990" spans="1:4" hidden="1" x14ac:dyDescent="0.25">
      <c r="A5990" t="s">
        <v>670</v>
      </c>
      <c r="B5990" t="s">
        <v>362</v>
      </c>
      <c r="C5990" s="2">
        <f>HYPERLINK("https://sao.dolgi.msk.ru/account/1404117808/", 1404117808)</f>
        <v>1404117808</v>
      </c>
      <c r="D5990">
        <v>0</v>
      </c>
    </row>
    <row r="5991" spans="1:4" hidden="1" x14ac:dyDescent="0.25">
      <c r="A5991" t="s">
        <v>670</v>
      </c>
      <c r="B5991" t="s">
        <v>363</v>
      </c>
      <c r="C5991" s="2">
        <f>HYPERLINK("https://sao.dolgi.msk.ru/account/1404117816/", 1404117816)</f>
        <v>1404117816</v>
      </c>
      <c r="D5991">
        <v>-11452.87</v>
      </c>
    </row>
    <row r="5992" spans="1:4" hidden="1" x14ac:dyDescent="0.25">
      <c r="A5992" t="s">
        <v>670</v>
      </c>
      <c r="B5992" t="s">
        <v>364</v>
      </c>
      <c r="C5992" s="2">
        <f>HYPERLINK("https://sao.dolgi.msk.ru/account/1404117445/", 1404117445)</f>
        <v>1404117445</v>
      </c>
      <c r="D5992">
        <v>0</v>
      </c>
    </row>
    <row r="5993" spans="1:4" hidden="1" x14ac:dyDescent="0.25">
      <c r="A5993" t="s">
        <v>670</v>
      </c>
      <c r="B5993" t="s">
        <v>365</v>
      </c>
      <c r="C5993" s="2">
        <f>HYPERLINK("https://sao.dolgi.msk.ru/account/1404117453/", 1404117453)</f>
        <v>1404117453</v>
      </c>
      <c r="D5993">
        <v>-2166.36</v>
      </c>
    </row>
    <row r="5994" spans="1:4" hidden="1" x14ac:dyDescent="0.25">
      <c r="A5994" t="s">
        <v>670</v>
      </c>
      <c r="B5994" t="s">
        <v>366</v>
      </c>
      <c r="C5994" s="2">
        <f>HYPERLINK("https://sao.dolgi.msk.ru/account/1404117533/", 1404117533)</f>
        <v>1404117533</v>
      </c>
      <c r="D5994">
        <v>-5634.88</v>
      </c>
    </row>
    <row r="5995" spans="1:4" hidden="1" x14ac:dyDescent="0.25">
      <c r="A5995" t="s">
        <v>670</v>
      </c>
      <c r="B5995" t="s">
        <v>367</v>
      </c>
      <c r="C5995" s="2">
        <f>HYPERLINK("https://sao.dolgi.msk.ru/account/1404117461/", 1404117461)</f>
        <v>1404117461</v>
      </c>
      <c r="D5995">
        <v>-3338.78</v>
      </c>
    </row>
    <row r="5996" spans="1:4" hidden="1" x14ac:dyDescent="0.25">
      <c r="A5996" t="s">
        <v>670</v>
      </c>
      <c r="B5996" t="s">
        <v>367</v>
      </c>
      <c r="C5996" s="2">
        <f>HYPERLINK("https://sao.dolgi.msk.ru/account/1404117787/", 1404117787)</f>
        <v>1404117787</v>
      </c>
      <c r="D5996">
        <v>-304.33999999999997</v>
      </c>
    </row>
    <row r="5997" spans="1:4" hidden="1" x14ac:dyDescent="0.25">
      <c r="A5997" t="s">
        <v>670</v>
      </c>
      <c r="B5997" t="s">
        <v>368</v>
      </c>
      <c r="C5997" s="2">
        <f>HYPERLINK("https://sao.dolgi.msk.ru/account/1404117824/", 1404117824)</f>
        <v>1404117824</v>
      </c>
      <c r="D5997">
        <v>0</v>
      </c>
    </row>
    <row r="5998" spans="1:4" hidden="1" x14ac:dyDescent="0.25">
      <c r="A5998" t="s">
        <v>670</v>
      </c>
      <c r="B5998" t="s">
        <v>369</v>
      </c>
      <c r="C5998" s="2">
        <f>HYPERLINK("https://sao.dolgi.msk.ru/account/1404118229/", 1404118229)</f>
        <v>1404118229</v>
      </c>
      <c r="D5998">
        <v>-1513.03</v>
      </c>
    </row>
    <row r="5999" spans="1:4" hidden="1" x14ac:dyDescent="0.25">
      <c r="A5999" t="s">
        <v>670</v>
      </c>
      <c r="B5999" t="s">
        <v>370</v>
      </c>
      <c r="C5999" s="2">
        <f>HYPERLINK("https://sao.dolgi.msk.ru/account/1404117488/", 1404117488)</f>
        <v>1404117488</v>
      </c>
      <c r="D5999">
        <v>-1479.21</v>
      </c>
    </row>
    <row r="6000" spans="1:4" hidden="1" x14ac:dyDescent="0.25">
      <c r="A6000" t="s">
        <v>670</v>
      </c>
      <c r="B6000" t="s">
        <v>371</v>
      </c>
      <c r="C6000" s="2">
        <f>HYPERLINK("https://sao.dolgi.msk.ru/account/1404118077/", 1404118077)</f>
        <v>1404118077</v>
      </c>
      <c r="D6000">
        <v>-585.1</v>
      </c>
    </row>
    <row r="6001" spans="1:4" hidden="1" x14ac:dyDescent="0.25">
      <c r="A6001" t="s">
        <v>670</v>
      </c>
      <c r="B6001" t="s">
        <v>372</v>
      </c>
      <c r="C6001" s="2">
        <f>HYPERLINK("https://sao.dolgi.msk.ru/account/1404117832/", 1404117832)</f>
        <v>1404117832</v>
      </c>
      <c r="D6001">
        <v>0</v>
      </c>
    </row>
    <row r="6002" spans="1:4" hidden="1" x14ac:dyDescent="0.25">
      <c r="A6002" t="s">
        <v>670</v>
      </c>
      <c r="B6002" t="s">
        <v>373</v>
      </c>
      <c r="C6002" s="2">
        <f>HYPERLINK("https://sao.dolgi.msk.ru/account/1404117859/", 1404117859)</f>
        <v>1404117859</v>
      </c>
      <c r="D6002">
        <v>-2672.75</v>
      </c>
    </row>
    <row r="6003" spans="1:4" hidden="1" x14ac:dyDescent="0.25">
      <c r="A6003" t="s">
        <v>670</v>
      </c>
      <c r="B6003" t="s">
        <v>374</v>
      </c>
      <c r="C6003" s="2">
        <f>HYPERLINK("https://sao.dolgi.msk.ru/account/1404118149/", 1404118149)</f>
        <v>1404118149</v>
      </c>
      <c r="D6003">
        <v>-4655.68</v>
      </c>
    </row>
    <row r="6004" spans="1:4" hidden="1" x14ac:dyDescent="0.25">
      <c r="A6004" t="s">
        <v>670</v>
      </c>
      <c r="B6004" t="s">
        <v>375</v>
      </c>
      <c r="C6004" s="2">
        <f>HYPERLINK("https://sao.dolgi.msk.ru/account/1404118237/", 1404118237)</f>
        <v>1404118237</v>
      </c>
      <c r="D6004">
        <v>-3268.44</v>
      </c>
    </row>
    <row r="6005" spans="1:4" hidden="1" x14ac:dyDescent="0.25">
      <c r="A6005" t="s">
        <v>670</v>
      </c>
      <c r="B6005" t="s">
        <v>376</v>
      </c>
      <c r="C6005" s="2">
        <f>HYPERLINK("https://sao.dolgi.msk.ru/account/1404117971/", 1404117971)</f>
        <v>1404117971</v>
      </c>
      <c r="D6005">
        <v>-5175</v>
      </c>
    </row>
    <row r="6006" spans="1:4" hidden="1" x14ac:dyDescent="0.25">
      <c r="A6006" t="s">
        <v>670</v>
      </c>
      <c r="B6006" t="s">
        <v>377</v>
      </c>
      <c r="C6006" s="2">
        <f>HYPERLINK("https://sao.dolgi.msk.ru/account/1404117541/", 1404117541)</f>
        <v>1404117541</v>
      </c>
      <c r="D6006">
        <v>-2502.17</v>
      </c>
    </row>
    <row r="6007" spans="1:4" hidden="1" x14ac:dyDescent="0.25">
      <c r="A6007" t="s">
        <v>670</v>
      </c>
      <c r="B6007" t="s">
        <v>378</v>
      </c>
      <c r="C6007" s="2">
        <f>HYPERLINK("https://sao.dolgi.msk.ru/account/1404117998/", 1404117998)</f>
        <v>1404117998</v>
      </c>
      <c r="D6007">
        <v>-4707.1400000000003</v>
      </c>
    </row>
    <row r="6008" spans="1:4" x14ac:dyDescent="0.25">
      <c r="A6008" t="s">
        <v>670</v>
      </c>
      <c r="B6008" t="s">
        <v>379</v>
      </c>
      <c r="C6008" s="2">
        <f>HYPERLINK("https://sao.dolgi.msk.ru/account/1404117568/", 1404117568)</f>
        <v>1404117568</v>
      </c>
      <c r="D6008">
        <v>22314.799999999999</v>
      </c>
    </row>
    <row r="6009" spans="1:4" x14ac:dyDescent="0.25">
      <c r="A6009" t="s">
        <v>670</v>
      </c>
      <c r="B6009" t="s">
        <v>380</v>
      </c>
      <c r="C6009" s="2">
        <f>HYPERLINK("https://sao.dolgi.msk.ru/account/1404117576/", 1404117576)</f>
        <v>1404117576</v>
      </c>
      <c r="D6009">
        <v>1541</v>
      </c>
    </row>
    <row r="6010" spans="1:4" x14ac:dyDescent="0.25">
      <c r="A6010" t="s">
        <v>670</v>
      </c>
      <c r="B6010" t="s">
        <v>381</v>
      </c>
      <c r="C6010" s="2">
        <f>HYPERLINK("https://sao.dolgi.msk.ru/account/1404118157/", 1404118157)</f>
        <v>1404118157</v>
      </c>
      <c r="D6010">
        <v>11732.57</v>
      </c>
    </row>
    <row r="6011" spans="1:4" hidden="1" x14ac:dyDescent="0.25">
      <c r="A6011" t="s">
        <v>670</v>
      </c>
      <c r="B6011" t="s">
        <v>382</v>
      </c>
      <c r="C6011" s="2">
        <f>HYPERLINK("https://sao.dolgi.msk.ru/account/1404118245/", 1404118245)</f>
        <v>1404118245</v>
      </c>
      <c r="D6011">
        <v>-3194.61</v>
      </c>
    </row>
    <row r="6012" spans="1:4" hidden="1" x14ac:dyDescent="0.25">
      <c r="A6012" t="s">
        <v>670</v>
      </c>
      <c r="B6012" t="s">
        <v>383</v>
      </c>
      <c r="C6012" s="2">
        <f>HYPERLINK("https://sao.dolgi.msk.ru/account/1404117672/", 1404117672)</f>
        <v>1404117672</v>
      </c>
      <c r="D6012">
        <v>-2529.62</v>
      </c>
    </row>
    <row r="6013" spans="1:4" hidden="1" x14ac:dyDescent="0.25">
      <c r="A6013" t="s">
        <v>670</v>
      </c>
      <c r="B6013" t="s">
        <v>383</v>
      </c>
      <c r="C6013" s="2">
        <f>HYPERLINK("https://sao.dolgi.msk.ru/account/1404118253/", 1404118253)</f>
        <v>1404118253</v>
      </c>
      <c r="D6013">
        <v>-1337.08</v>
      </c>
    </row>
    <row r="6014" spans="1:4" hidden="1" x14ac:dyDescent="0.25">
      <c r="A6014" t="s">
        <v>670</v>
      </c>
      <c r="B6014" t="s">
        <v>384</v>
      </c>
      <c r="C6014" s="2">
        <f>HYPERLINK("https://sao.dolgi.msk.ru/account/1404117496/", 1404117496)</f>
        <v>1404117496</v>
      </c>
      <c r="D6014">
        <v>-4183.72</v>
      </c>
    </row>
    <row r="6015" spans="1:4" hidden="1" x14ac:dyDescent="0.25">
      <c r="A6015" t="s">
        <v>670</v>
      </c>
      <c r="B6015" t="s">
        <v>385</v>
      </c>
      <c r="C6015" s="2">
        <f>HYPERLINK("https://sao.dolgi.msk.ru/account/1404117584/", 1404117584)</f>
        <v>1404117584</v>
      </c>
      <c r="D6015">
        <v>-2916.25</v>
      </c>
    </row>
    <row r="6016" spans="1:4" hidden="1" x14ac:dyDescent="0.25">
      <c r="A6016" t="s">
        <v>670</v>
      </c>
      <c r="B6016" t="s">
        <v>386</v>
      </c>
      <c r="C6016" s="2">
        <f>HYPERLINK("https://sao.dolgi.msk.ru/account/1404118165/", 1404118165)</f>
        <v>1404118165</v>
      </c>
      <c r="D6016">
        <v>0</v>
      </c>
    </row>
    <row r="6017" spans="1:4" hidden="1" x14ac:dyDescent="0.25">
      <c r="A6017" t="s">
        <v>670</v>
      </c>
      <c r="B6017" t="s">
        <v>387</v>
      </c>
      <c r="C6017" s="2">
        <f>HYPERLINK("https://sao.dolgi.msk.ru/account/1404118018/", 1404118018)</f>
        <v>1404118018</v>
      </c>
      <c r="D6017">
        <v>-5093.18</v>
      </c>
    </row>
    <row r="6018" spans="1:4" hidden="1" x14ac:dyDescent="0.25">
      <c r="A6018" t="s">
        <v>670</v>
      </c>
      <c r="B6018" t="s">
        <v>388</v>
      </c>
      <c r="C6018" s="2">
        <f>HYPERLINK("https://sao.dolgi.msk.ru/account/1404117867/", 1404117867)</f>
        <v>1404117867</v>
      </c>
      <c r="D6018">
        <v>-4726.58</v>
      </c>
    </row>
    <row r="6019" spans="1:4" x14ac:dyDescent="0.25">
      <c r="A6019" t="s">
        <v>670</v>
      </c>
      <c r="B6019" t="s">
        <v>389</v>
      </c>
      <c r="C6019" s="2">
        <f>HYPERLINK("https://sao.dolgi.msk.ru/account/1404117875/", 1404117875)</f>
        <v>1404117875</v>
      </c>
      <c r="D6019">
        <v>737.8</v>
      </c>
    </row>
    <row r="6020" spans="1:4" hidden="1" x14ac:dyDescent="0.25">
      <c r="A6020" t="s">
        <v>670</v>
      </c>
      <c r="B6020" t="s">
        <v>390</v>
      </c>
      <c r="C6020" s="2">
        <f>HYPERLINK("https://sao.dolgi.msk.ru/account/1404118085/", 1404118085)</f>
        <v>1404118085</v>
      </c>
      <c r="D6020">
        <v>-11094.6</v>
      </c>
    </row>
    <row r="6021" spans="1:4" hidden="1" x14ac:dyDescent="0.25">
      <c r="A6021" t="s">
        <v>670</v>
      </c>
      <c r="B6021" t="s">
        <v>391</v>
      </c>
      <c r="C6021" s="2">
        <f>HYPERLINK("https://sao.dolgi.msk.ru/account/1404118093/", 1404118093)</f>
        <v>1404118093</v>
      </c>
      <c r="D6021">
        <v>-2973.8</v>
      </c>
    </row>
    <row r="6022" spans="1:4" x14ac:dyDescent="0.25">
      <c r="A6022" t="s">
        <v>670</v>
      </c>
      <c r="B6022" t="s">
        <v>392</v>
      </c>
      <c r="C6022" s="2">
        <f>HYPERLINK("https://sao.dolgi.msk.ru/account/1404118261/", 1404118261)</f>
        <v>1404118261</v>
      </c>
      <c r="D6022">
        <v>26884.21</v>
      </c>
    </row>
    <row r="6023" spans="1:4" hidden="1" x14ac:dyDescent="0.25">
      <c r="A6023" t="s">
        <v>670</v>
      </c>
      <c r="B6023" t="s">
        <v>393</v>
      </c>
      <c r="C6023" s="2">
        <f>HYPERLINK("https://sao.dolgi.msk.ru/account/1404117701/", 1404117701)</f>
        <v>1404117701</v>
      </c>
      <c r="D6023">
        <v>-3823.96</v>
      </c>
    </row>
    <row r="6024" spans="1:4" hidden="1" x14ac:dyDescent="0.25">
      <c r="A6024" t="s">
        <v>670</v>
      </c>
      <c r="B6024" t="s">
        <v>394</v>
      </c>
      <c r="C6024" s="2">
        <f>HYPERLINK("https://sao.dolgi.msk.ru/account/1404118288/", 1404118288)</f>
        <v>1404118288</v>
      </c>
      <c r="D6024">
        <v>-6725.05</v>
      </c>
    </row>
    <row r="6025" spans="1:4" hidden="1" x14ac:dyDescent="0.25">
      <c r="A6025" t="s">
        <v>670</v>
      </c>
      <c r="B6025" t="s">
        <v>395</v>
      </c>
      <c r="C6025" s="2">
        <f>HYPERLINK("https://sao.dolgi.msk.ru/account/1404117728/", 1404117728)</f>
        <v>1404117728</v>
      </c>
      <c r="D6025">
        <v>-5841.85</v>
      </c>
    </row>
    <row r="6026" spans="1:4" hidden="1" x14ac:dyDescent="0.25">
      <c r="A6026" t="s">
        <v>670</v>
      </c>
      <c r="B6026" t="s">
        <v>396</v>
      </c>
      <c r="C6026" s="2">
        <f>HYPERLINK("https://sao.dolgi.msk.ru/account/1404117883/", 1404117883)</f>
        <v>1404117883</v>
      </c>
      <c r="D6026">
        <v>-3960.24</v>
      </c>
    </row>
    <row r="6027" spans="1:4" x14ac:dyDescent="0.25">
      <c r="A6027" t="s">
        <v>670</v>
      </c>
      <c r="B6027" t="s">
        <v>397</v>
      </c>
      <c r="C6027" s="2">
        <f>HYPERLINK("https://sao.dolgi.msk.ru/account/1404117891/", 1404117891)</f>
        <v>1404117891</v>
      </c>
      <c r="D6027">
        <v>9204.32</v>
      </c>
    </row>
    <row r="6028" spans="1:4" hidden="1" x14ac:dyDescent="0.25">
      <c r="A6028" t="s">
        <v>670</v>
      </c>
      <c r="B6028" t="s">
        <v>398</v>
      </c>
      <c r="C6028" s="2">
        <f>HYPERLINK("https://sao.dolgi.msk.ru/account/1404118296/", 1404118296)</f>
        <v>1404118296</v>
      </c>
      <c r="D6028">
        <v>-5438.04</v>
      </c>
    </row>
    <row r="6029" spans="1:4" hidden="1" x14ac:dyDescent="0.25">
      <c r="A6029" t="s">
        <v>670</v>
      </c>
      <c r="B6029" t="s">
        <v>401</v>
      </c>
      <c r="C6029" s="2">
        <f>HYPERLINK("https://sao.dolgi.msk.ru/account/1404117904/", 1404117904)</f>
        <v>1404117904</v>
      </c>
      <c r="D6029">
        <v>-553.58000000000004</v>
      </c>
    </row>
    <row r="6030" spans="1:4" hidden="1" x14ac:dyDescent="0.25">
      <c r="A6030" t="s">
        <v>670</v>
      </c>
      <c r="B6030" t="s">
        <v>402</v>
      </c>
      <c r="C6030" s="2">
        <f>HYPERLINK("https://sao.dolgi.msk.ru/account/1404117736/", 1404117736)</f>
        <v>1404117736</v>
      </c>
      <c r="D6030">
        <v>0</v>
      </c>
    </row>
    <row r="6031" spans="1:4" x14ac:dyDescent="0.25">
      <c r="A6031" t="s">
        <v>670</v>
      </c>
      <c r="B6031" t="s">
        <v>403</v>
      </c>
      <c r="C6031" s="2">
        <f>HYPERLINK("https://sao.dolgi.msk.ru/account/1404118173/", 1404118173)</f>
        <v>1404118173</v>
      </c>
      <c r="D6031">
        <v>674.24</v>
      </c>
    </row>
    <row r="6032" spans="1:4" x14ac:dyDescent="0.25">
      <c r="A6032" t="s">
        <v>670</v>
      </c>
      <c r="B6032" t="s">
        <v>404</v>
      </c>
      <c r="C6032" s="2">
        <f>HYPERLINK("https://sao.dolgi.msk.ru/account/1404118181/", 1404118181)</f>
        <v>1404118181</v>
      </c>
      <c r="D6032">
        <v>16099.85</v>
      </c>
    </row>
    <row r="6033" spans="1:4" hidden="1" x14ac:dyDescent="0.25">
      <c r="A6033" t="s">
        <v>670</v>
      </c>
      <c r="B6033" t="s">
        <v>405</v>
      </c>
      <c r="C6033" s="2">
        <f>HYPERLINK("https://sao.dolgi.msk.ru/account/1404117912/", 1404117912)</f>
        <v>1404117912</v>
      </c>
      <c r="D6033">
        <v>-5207.87</v>
      </c>
    </row>
    <row r="6034" spans="1:4" x14ac:dyDescent="0.25">
      <c r="A6034" t="s">
        <v>670</v>
      </c>
      <c r="B6034" t="s">
        <v>406</v>
      </c>
      <c r="C6034" s="2">
        <f>HYPERLINK("https://sao.dolgi.msk.ru/account/1404118309/", 1404118309)</f>
        <v>1404118309</v>
      </c>
      <c r="D6034">
        <v>330.61</v>
      </c>
    </row>
    <row r="6035" spans="1:4" hidden="1" x14ac:dyDescent="0.25">
      <c r="A6035" t="s">
        <v>670</v>
      </c>
      <c r="B6035" t="s">
        <v>407</v>
      </c>
      <c r="C6035" s="2">
        <f>HYPERLINK("https://sao.dolgi.msk.ru/account/1404118317/", 1404118317)</f>
        <v>1404118317</v>
      </c>
      <c r="D6035">
        <v>-5179.0200000000004</v>
      </c>
    </row>
    <row r="6036" spans="1:4" x14ac:dyDescent="0.25">
      <c r="A6036" t="s">
        <v>670</v>
      </c>
      <c r="B6036" t="s">
        <v>408</v>
      </c>
      <c r="C6036" s="2">
        <f>HYPERLINK("https://sao.dolgi.msk.ru/account/1404117744/", 1404117744)</f>
        <v>1404117744</v>
      </c>
      <c r="D6036">
        <v>2080.81</v>
      </c>
    </row>
    <row r="6037" spans="1:4" hidden="1" x14ac:dyDescent="0.25">
      <c r="A6037" t="s">
        <v>670</v>
      </c>
      <c r="B6037" t="s">
        <v>409</v>
      </c>
      <c r="C6037" s="2">
        <f>HYPERLINK("https://sao.dolgi.msk.ru/account/1404118026/", 1404118026)</f>
        <v>1404118026</v>
      </c>
      <c r="D6037">
        <v>-5764.54</v>
      </c>
    </row>
    <row r="6038" spans="1:4" hidden="1" x14ac:dyDescent="0.25">
      <c r="A6038" t="s">
        <v>670</v>
      </c>
      <c r="B6038" t="s">
        <v>410</v>
      </c>
      <c r="C6038" s="2">
        <f>HYPERLINK("https://sao.dolgi.msk.ru/account/1404117592/", 1404117592)</f>
        <v>1404117592</v>
      </c>
      <c r="D6038">
        <v>0</v>
      </c>
    </row>
    <row r="6039" spans="1:4" hidden="1" x14ac:dyDescent="0.25">
      <c r="A6039" t="s">
        <v>670</v>
      </c>
      <c r="B6039" t="s">
        <v>411</v>
      </c>
      <c r="C6039" s="2">
        <f>HYPERLINK("https://sao.dolgi.msk.ru/account/1404117939/", 1404117939)</f>
        <v>1404117939</v>
      </c>
      <c r="D6039">
        <v>0</v>
      </c>
    </row>
    <row r="6040" spans="1:4" x14ac:dyDescent="0.25">
      <c r="A6040" t="s">
        <v>670</v>
      </c>
      <c r="B6040" t="s">
        <v>429</v>
      </c>
      <c r="C6040" s="2">
        <f>HYPERLINK("https://sao.dolgi.msk.ru/account/1404118202/", 1404118202)</f>
        <v>1404118202</v>
      </c>
      <c r="D6040">
        <v>9116</v>
      </c>
    </row>
    <row r="6041" spans="1:4" hidden="1" x14ac:dyDescent="0.25">
      <c r="A6041" t="s">
        <v>670</v>
      </c>
      <c r="B6041" t="s">
        <v>430</v>
      </c>
      <c r="C6041" s="2">
        <f>HYPERLINK("https://sao.dolgi.msk.ru/account/1404117605/", 1404117605)</f>
        <v>1404117605</v>
      </c>
      <c r="D6041">
        <v>-4064.03</v>
      </c>
    </row>
    <row r="6042" spans="1:4" hidden="1" x14ac:dyDescent="0.25">
      <c r="A6042" t="s">
        <v>670</v>
      </c>
      <c r="B6042" t="s">
        <v>431</v>
      </c>
      <c r="C6042" s="2">
        <f>HYPERLINK("https://sao.dolgi.msk.ru/account/1404117613/", 1404117613)</f>
        <v>1404117613</v>
      </c>
      <c r="D6042">
        <v>-4161.7</v>
      </c>
    </row>
    <row r="6043" spans="1:4" hidden="1" x14ac:dyDescent="0.25">
      <c r="A6043" t="s">
        <v>670</v>
      </c>
      <c r="B6043" t="s">
        <v>432</v>
      </c>
      <c r="C6043" s="2">
        <f>HYPERLINK("https://sao.dolgi.msk.ru/account/1404118034/", 1404118034)</f>
        <v>1404118034</v>
      </c>
      <c r="D6043">
        <v>-10679.42</v>
      </c>
    </row>
    <row r="6044" spans="1:4" hidden="1" x14ac:dyDescent="0.25">
      <c r="A6044" t="s">
        <v>670</v>
      </c>
      <c r="B6044" t="s">
        <v>433</v>
      </c>
      <c r="C6044" s="2">
        <f>HYPERLINK("https://sao.dolgi.msk.ru/account/1404118325/", 1404118325)</f>
        <v>1404118325</v>
      </c>
      <c r="D6044">
        <v>-1584.84</v>
      </c>
    </row>
    <row r="6045" spans="1:4" hidden="1" x14ac:dyDescent="0.25">
      <c r="A6045" t="s">
        <v>670</v>
      </c>
      <c r="B6045" t="s">
        <v>438</v>
      </c>
      <c r="C6045" s="2">
        <f>HYPERLINK("https://sao.dolgi.msk.ru/account/1404118333/", 1404118333)</f>
        <v>1404118333</v>
      </c>
      <c r="D6045">
        <v>0</v>
      </c>
    </row>
    <row r="6046" spans="1:4" hidden="1" x14ac:dyDescent="0.25">
      <c r="A6046" t="s">
        <v>670</v>
      </c>
      <c r="B6046" t="s">
        <v>439</v>
      </c>
      <c r="C6046" s="2">
        <f>HYPERLINK("https://sao.dolgi.msk.ru/account/1404117947/", 1404117947)</f>
        <v>1404117947</v>
      </c>
      <c r="D6046">
        <v>-396.24</v>
      </c>
    </row>
    <row r="6047" spans="1:4" hidden="1" x14ac:dyDescent="0.25">
      <c r="A6047" t="s">
        <v>670</v>
      </c>
      <c r="B6047" t="s">
        <v>440</v>
      </c>
      <c r="C6047" s="2">
        <f>HYPERLINK("https://sao.dolgi.msk.ru/account/1404154684/", 1404154684)</f>
        <v>1404154684</v>
      </c>
      <c r="D6047">
        <v>-2079.34</v>
      </c>
    </row>
    <row r="6048" spans="1:4" x14ac:dyDescent="0.25">
      <c r="A6048" t="s">
        <v>670</v>
      </c>
      <c r="B6048" t="s">
        <v>441</v>
      </c>
      <c r="C6048" s="2">
        <f>HYPERLINK("https://sao.dolgi.msk.ru/account/1404117955/", 1404117955)</f>
        <v>1404117955</v>
      </c>
      <c r="D6048">
        <v>27378.46</v>
      </c>
    </row>
    <row r="6049" spans="1:4" hidden="1" x14ac:dyDescent="0.25">
      <c r="A6049" t="s">
        <v>670</v>
      </c>
      <c r="B6049" t="s">
        <v>442</v>
      </c>
      <c r="C6049" s="2">
        <f>HYPERLINK("https://sao.dolgi.msk.ru/account/1404117509/", 1404117509)</f>
        <v>1404117509</v>
      </c>
      <c r="D6049">
        <v>-5203.71</v>
      </c>
    </row>
    <row r="6050" spans="1:4" x14ac:dyDescent="0.25">
      <c r="A6050" t="s">
        <v>670</v>
      </c>
      <c r="B6050" t="s">
        <v>443</v>
      </c>
      <c r="C6050" s="2">
        <f>HYPERLINK("https://sao.dolgi.msk.ru/account/1404117963/", 1404117963)</f>
        <v>1404117963</v>
      </c>
      <c r="D6050">
        <v>116543.5</v>
      </c>
    </row>
    <row r="6051" spans="1:4" hidden="1" x14ac:dyDescent="0.25">
      <c r="A6051" t="s">
        <v>670</v>
      </c>
      <c r="B6051" t="s">
        <v>444</v>
      </c>
      <c r="C6051" s="2">
        <f>HYPERLINK("https://sao.dolgi.msk.ru/account/1404117517/", 1404117517)</f>
        <v>1404117517</v>
      </c>
      <c r="D6051">
        <v>-3279.59</v>
      </c>
    </row>
    <row r="6052" spans="1:4" hidden="1" x14ac:dyDescent="0.25">
      <c r="A6052" t="s">
        <v>670</v>
      </c>
      <c r="B6052" t="s">
        <v>445</v>
      </c>
      <c r="C6052" s="2">
        <f>HYPERLINK("https://sao.dolgi.msk.ru/account/1404117752/", 1404117752)</f>
        <v>1404117752</v>
      </c>
      <c r="D6052">
        <v>-1913.93</v>
      </c>
    </row>
    <row r="6053" spans="1:4" hidden="1" x14ac:dyDescent="0.25">
      <c r="A6053" t="s">
        <v>670</v>
      </c>
      <c r="B6053" t="s">
        <v>446</v>
      </c>
      <c r="C6053" s="2">
        <f>HYPERLINK("https://sao.dolgi.msk.ru/account/1404118042/", 1404118042)</f>
        <v>1404118042</v>
      </c>
      <c r="D6053">
        <v>-3704.85</v>
      </c>
    </row>
    <row r="6054" spans="1:4" hidden="1" x14ac:dyDescent="0.25">
      <c r="A6054" t="s">
        <v>670</v>
      </c>
      <c r="B6054" t="s">
        <v>447</v>
      </c>
      <c r="C6054" s="2">
        <f>HYPERLINK("https://sao.dolgi.msk.ru/account/1404117648/", 1404117648)</f>
        <v>1404117648</v>
      </c>
      <c r="D6054">
        <v>0</v>
      </c>
    </row>
    <row r="6055" spans="1:4" hidden="1" x14ac:dyDescent="0.25">
      <c r="A6055" t="s">
        <v>670</v>
      </c>
      <c r="B6055" t="s">
        <v>448</v>
      </c>
      <c r="C6055" s="2">
        <f>HYPERLINK("https://sao.dolgi.msk.ru/account/1404117656/", 1404117656)</f>
        <v>1404117656</v>
      </c>
      <c r="D6055">
        <v>-3548.08</v>
      </c>
    </row>
    <row r="6056" spans="1:4" hidden="1" x14ac:dyDescent="0.25">
      <c r="A6056" t="s">
        <v>670</v>
      </c>
      <c r="B6056" t="s">
        <v>449</v>
      </c>
      <c r="C6056" s="2">
        <f>HYPERLINK("https://sao.dolgi.msk.ru/account/1404118106/", 1404118106)</f>
        <v>1404118106</v>
      </c>
      <c r="D6056">
        <v>-105.7</v>
      </c>
    </row>
    <row r="6057" spans="1:4" hidden="1" x14ac:dyDescent="0.25">
      <c r="A6057" t="s">
        <v>670</v>
      </c>
      <c r="B6057" t="s">
        <v>450</v>
      </c>
      <c r="C6057" s="2">
        <f>HYPERLINK("https://sao.dolgi.msk.ru/account/1404117779/", 1404117779)</f>
        <v>1404117779</v>
      </c>
      <c r="D6057">
        <v>-3050.01</v>
      </c>
    </row>
    <row r="6058" spans="1:4" x14ac:dyDescent="0.25">
      <c r="A6058" t="s">
        <v>670</v>
      </c>
      <c r="B6058" t="s">
        <v>451</v>
      </c>
      <c r="C6058" s="2">
        <f>HYPERLINK("https://sao.dolgi.msk.ru/account/1404118341/", 1404118341)</f>
        <v>1404118341</v>
      </c>
      <c r="D6058">
        <v>5774.8</v>
      </c>
    </row>
    <row r="6059" spans="1:4" hidden="1" x14ac:dyDescent="0.25">
      <c r="A6059" t="s">
        <v>670</v>
      </c>
      <c r="B6059" t="s">
        <v>452</v>
      </c>
      <c r="C6059" s="2">
        <f>HYPERLINK("https://sao.dolgi.msk.ru/account/1404118114/", 1404118114)</f>
        <v>1404118114</v>
      </c>
      <c r="D6059">
        <v>-355.81</v>
      </c>
    </row>
    <row r="6060" spans="1:4" hidden="1" x14ac:dyDescent="0.25">
      <c r="A6060" t="s">
        <v>670</v>
      </c>
      <c r="B6060" t="s">
        <v>453</v>
      </c>
      <c r="C6060" s="2">
        <f>HYPERLINK("https://sao.dolgi.msk.ru/account/1404117664/", 1404117664)</f>
        <v>1404117664</v>
      </c>
      <c r="D6060">
        <v>-1960.58</v>
      </c>
    </row>
    <row r="6061" spans="1:4" hidden="1" x14ac:dyDescent="0.25">
      <c r="A6061" t="s">
        <v>671</v>
      </c>
      <c r="B6061" t="s">
        <v>5</v>
      </c>
      <c r="C6061" s="2">
        <f>HYPERLINK("https://sao.dolgi.msk.ru/account/1404119248/", 1404119248)</f>
        <v>1404119248</v>
      </c>
      <c r="D6061">
        <v>-3622.28</v>
      </c>
    </row>
    <row r="6062" spans="1:4" hidden="1" x14ac:dyDescent="0.25">
      <c r="A6062" t="s">
        <v>671</v>
      </c>
      <c r="B6062" t="s">
        <v>6</v>
      </c>
      <c r="C6062" s="2">
        <f>HYPERLINK("https://sao.dolgi.msk.ru/account/1404118501/", 1404118501)</f>
        <v>1404118501</v>
      </c>
      <c r="D6062">
        <v>-6996.91</v>
      </c>
    </row>
    <row r="6063" spans="1:4" hidden="1" x14ac:dyDescent="0.25">
      <c r="A6063" t="s">
        <v>671</v>
      </c>
      <c r="B6063" t="s">
        <v>7</v>
      </c>
      <c r="C6063" s="2">
        <f>HYPERLINK("https://sao.dolgi.msk.ru/account/1404118798/", 1404118798)</f>
        <v>1404118798</v>
      </c>
      <c r="D6063">
        <v>-6418.38</v>
      </c>
    </row>
    <row r="6064" spans="1:4" hidden="1" x14ac:dyDescent="0.25">
      <c r="A6064" t="s">
        <v>671</v>
      </c>
      <c r="B6064" t="s">
        <v>8</v>
      </c>
      <c r="C6064" s="2">
        <f>HYPERLINK("https://sao.dolgi.msk.ru/account/1404118851/", 1404118851)</f>
        <v>1404118851</v>
      </c>
      <c r="D6064">
        <v>-3103.12</v>
      </c>
    </row>
    <row r="6065" spans="1:4" hidden="1" x14ac:dyDescent="0.25">
      <c r="A6065" t="s">
        <v>671</v>
      </c>
      <c r="B6065" t="s">
        <v>9</v>
      </c>
      <c r="C6065" s="2">
        <f>HYPERLINK("https://sao.dolgi.msk.ru/account/1404119301/", 1404119301)</f>
        <v>1404119301</v>
      </c>
      <c r="D6065">
        <v>0</v>
      </c>
    </row>
    <row r="6066" spans="1:4" hidden="1" x14ac:dyDescent="0.25">
      <c r="A6066" t="s">
        <v>671</v>
      </c>
      <c r="B6066" t="s">
        <v>10</v>
      </c>
      <c r="C6066" s="2">
        <f>HYPERLINK("https://sao.dolgi.msk.ru/account/1404118683/", 1404118683)</f>
        <v>1404118683</v>
      </c>
      <c r="D6066">
        <v>0</v>
      </c>
    </row>
    <row r="6067" spans="1:4" hidden="1" x14ac:dyDescent="0.25">
      <c r="A6067" t="s">
        <v>671</v>
      </c>
      <c r="B6067" t="s">
        <v>11</v>
      </c>
      <c r="C6067" s="2">
        <f>HYPERLINK("https://sao.dolgi.msk.ru/account/1404119096/", 1404119096)</f>
        <v>1404119096</v>
      </c>
      <c r="D6067">
        <v>-5593.58</v>
      </c>
    </row>
    <row r="6068" spans="1:4" hidden="1" x14ac:dyDescent="0.25">
      <c r="A6068" t="s">
        <v>671</v>
      </c>
      <c r="B6068" t="s">
        <v>12</v>
      </c>
      <c r="C6068" s="2">
        <f>HYPERLINK("https://sao.dolgi.msk.ru/account/1404119213/", 1404119213)</f>
        <v>1404119213</v>
      </c>
      <c r="D6068">
        <v>-5137.5200000000004</v>
      </c>
    </row>
    <row r="6069" spans="1:4" hidden="1" x14ac:dyDescent="0.25">
      <c r="A6069" t="s">
        <v>671</v>
      </c>
      <c r="B6069" t="s">
        <v>13</v>
      </c>
      <c r="C6069" s="2">
        <f>HYPERLINK("https://sao.dolgi.msk.ru/account/1404118974/", 1404118974)</f>
        <v>1404118974</v>
      </c>
      <c r="D6069">
        <v>-5064.3900000000003</v>
      </c>
    </row>
    <row r="6070" spans="1:4" hidden="1" x14ac:dyDescent="0.25">
      <c r="A6070" t="s">
        <v>671</v>
      </c>
      <c r="B6070" t="s">
        <v>14</v>
      </c>
      <c r="C6070" s="2">
        <f>HYPERLINK("https://sao.dolgi.msk.ru/account/1404119117/", 1404119117)</f>
        <v>1404119117</v>
      </c>
      <c r="D6070">
        <v>-5092.1000000000004</v>
      </c>
    </row>
    <row r="6071" spans="1:4" hidden="1" x14ac:dyDescent="0.25">
      <c r="A6071" t="s">
        <v>671</v>
      </c>
      <c r="B6071" t="s">
        <v>15</v>
      </c>
      <c r="C6071" s="2">
        <f>HYPERLINK("https://sao.dolgi.msk.ru/account/1404118843/", 1404118843)</f>
        <v>1404118843</v>
      </c>
      <c r="D6071">
        <v>-4930.17</v>
      </c>
    </row>
    <row r="6072" spans="1:4" x14ac:dyDescent="0.25">
      <c r="A6072" t="s">
        <v>671</v>
      </c>
      <c r="B6072" t="s">
        <v>16</v>
      </c>
      <c r="C6072" s="2">
        <f>HYPERLINK("https://sao.dolgi.msk.ru/account/1404118376/", 1404118376)</f>
        <v>1404118376</v>
      </c>
      <c r="D6072">
        <v>3643.81</v>
      </c>
    </row>
    <row r="6073" spans="1:4" hidden="1" x14ac:dyDescent="0.25">
      <c r="A6073" t="s">
        <v>671</v>
      </c>
      <c r="B6073" t="s">
        <v>17</v>
      </c>
      <c r="C6073" s="2">
        <f>HYPERLINK("https://sao.dolgi.msk.ru/account/1404118472/", 1404118472)</f>
        <v>1404118472</v>
      </c>
      <c r="D6073">
        <v>-2407.44</v>
      </c>
    </row>
    <row r="6074" spans="1:4" x14ac:dyDescent="0.25">
      <c r="A6074" t="s">
        <v>671</v>
      </c>
      <c r="B6074" t="s">
        <v>18</v>
      </c>
      <c r="C6074" s="2">
        <f>HYPERLINK("https://sao.dolgi.msk.ru/account/1404118384/", 1404118384)</f>
        <v>1404118384</v>
      </c>
      <c r="D6074">
        <v>518.4</v>
      </c>
    </row>
    <row r="6075" spans="1:4" x14ac:dyDescent="0.25">
      <c r="A6075" t="s">
        <v>671</v>
      </c>
      <c r="B6075" t="s">
        <v>19</v>
      </c>
      <c r="C6075" s="2">
        <f>HYPERLINK("https://sao.dolgi.msk.ru/account/1404118499/", 1404118499)</f>
        <v>1404118499</v>
      </c>
      <c r="D6075">
        <v>5367.44</v>
      </c>
    </row>
    <row r="6076" spans="1:4" hidden="1" x14ac:dyDescent="0.25">
      <c r="A6076" t="s">
        <v>671</v>
      </c>
      <c r="B6076" t="s">
        <v>20</v>
      </c>
      <c r="C6076" s="2">
        <f>HYPERLINK("https://sao.dolgi.msk.ru/account/1404118595/", 1404118595)</f>
        <v>1404118595</v>
      </c>
      <c r="D6076">
        <v>-2508.5</v>
      </c>
    </row>
    <row r="6077" spans="1:4" hidden="1" x14ac:dyDescent="0.25">
      <c r="A6077" t="s">
        <v>671</v>
      </c>
      <c r="B6077" t="s">
        <v>21</v>
      </c>
      <c r="C6077" s="2">
        <f>HYPERLINK("https://sao.dolgi.msk.ru/account/1404118763/", 1404118763)</f>
        <v>1404118763</v>
      </c>
      <c r="D6077">
        <v>-2432.64</v>
      </c>
    </row>
    <row r="6078" spans="1:4" x14ac:dyDescent="0.25">
      <c r="A6078" t="s">
        <v>671</v>
      </c>
      <c r="B6078" t="s">
        <v>22</v>
      </c>
      <c r="C6078" s="2">
        <f>HYPERLINK("https://sao.dolgi.msk.ru/account/1404118608/", 1404118608)</f>
        <v>1404118608</v>
      </c>
      <c r="D6078">
        <v>4682.01</v>
      </c>
    </row>
    <row r="6079" spans="1:4" hidden="1" x14ac:dyDescent="0.25">
      <c r="A6079" t="s">
        <v>671</v>
      </c>
      <c r="B6079" t="s">
        <v>23</v>
      </c>
      <c r="C6079" s="2">
        <f>HYPERLINK("https://sao.dolgi.msk.ru/account/1404118392/", 1404118392)</f>
        <v>1404118392</v>
      </c>
      <c r="D6079">
        <v>-4828.37</v>
      </c>
    </row>
    <row r="6080" spans="1:4" hidden="1" x14ac:dyDescent="0.25">
      <c r="A6080" t="s">
        <v>671</v>
      </c>
      <c r="B6080" t="s">
        <v>24</v>
      </c>
      <c r="C6080" s="2">
        <f>HYPERLINK("https://sao.dolgi.msk.ru/account/1404118616/", 1404118616)</f>
        <v>1404118616</v>
      </c>
      <c r="D6080">
        <v>-3206.74</v>
      </c>
    </row>
    <row r="6081" spans="1:4" hidden="1" x14ac:dyDescent="0.25">
      <c r="A6081" t="s">
        <v>671</v>
      </c>
      <c r="B6081" t="s">
        <v>25</v>
      </c>
      <c r="C6081" s="2">
        <f>HYPERLINK("https://sao.dolgi.msk.ru/account/1404119256/", 1404119256)</f>
        <v>1404119256</v>
      </c>
      <c r="D6081">
        <v>-2955.41</v>
      </c>
    </row>
    <row r="6082" spans="1:4" hidden="1" x14ac:dyDescent="0.25">
      <c r="A6082" t="s">
        <v>671</v>
      </c>
      <c r="B6082" t="s">
        <v>26</v>
      </c>
      <c r="C6082" s="2">
        <f>HYPERLINK("https://sao.dolgi.msk.ru/account/1404119125/", 1404119125)</f>
        <v>1404119125</v>
      </c>
      <c r="D6082">
        <v>-1</v>
      </c>
    </row>
    <row r="6083" spans="1:4" hidden="1" x14ac:dyDescent="0.25">
      <c r="A6083" t="s">
        <v>671</v>
      </c>
      <c r="B6083" t="s">
        <v>27</v>
      </c>
      <c r="C6083" s="2">
        <f>HYPERLINK("https://sao.dolgi.msk.ru/account/1404118405/", 1404118405)</f>
        <v>1404118405</v>
      </c>
      <c r="D6083">
        <v>-3634.08</v>
      </c>
    </row>
    <row r="6084" spans="1:4" hidden="1" x14ac:dyDescent="0.25">
      <c r="A6084" t="s">
        <v>671</v>
      </c>
      <c r="B6084" t="s">
        <v>28</v>
      </c>
      <c r="C6084" s="2">
        <f>HYPERLINK("https://sao.dolgi.msk.ru/account/1404118771/", 1404118771)</f>
        <v>1404118771</v>
      </c>
      <c r="D6084">
        <v>-3911.41</v>
      </c>
    </row>
    <row r="6085" spans="1:4" hidden="1" x14ac:dyDescent="0.25">
      <c r="A6085" t="s">
        <v>671</v>
      </c>
      <c r="B6085" t="s">
        <v>29</v>
      </c>
      <c r="C6085" s="2">
        <f>HYPERLINK("https://sao.dolgi.msk.ru/account/1404119133/", 1404119133)</f>
        <v>1404119133</v>
      </c>
      <c r="D6085">
        <v>-1368.01</v>
      </c>
    </row>
    <row r="6086" spans="1:4" hidden="1" x14ac:dyDescent="0.25">
      <c r="A6086" t="s">
        <v>671</v>
      </c>
      <c r="B6086" t="s">
        <v>30</v>
      </c>
      <c r="C6086" s="2">
        <f>HYPERLINK("https://sao.dolgi.msk.ru/account/1404119264/", 1404119264)</f>
        <v>1404119264</v>
      </c>
      <c r="D6086">
        <v>-7056.45</v>
      </c>
    </row>
    <row r="6087" spans="1:4" hidden="1" x14ac:dyDescent="0.25">
      <c r="A6087" t="s">
        <v>671</v>
      </c>
      <c r="B6087" t="s">
        <v>31</v>
      </c>
      <c r="C6087" s="2">
        <f>HYPERLINK("https://sao.dolgi.msk.ru/account/1404118624/", 1404118624)</f>
        <v>1404118624</v>
      </c>
      <c r="D6087">
        <v>-3839.02</v>
      </c>
    </row>
    <row r="6088" spans="1:4" hidden="1" x14ac:dyDescent="0.25">
      <c r="A6088" t="s">
        <v>671</v>
      </c>
      <c r="B6088" t="s">
        <v>32</v>
      </c>
      <c r="C6088" s="2">
        <f>HYPERLINK("https://sao.dolgi.msk.ru/account/1404118632/", 1404118632)</f>
        <v>1404118632</v>
      </c>
      <c r="D6088">
        <v>-8193.6299999999992</v>
      </c>
    </row>
    <row r="6089" spans="1:4" x14ac:dyDescent="0.25">
      <c r="A6089" t="s">
        <v>671</v>
      </c>
      <c r="B6089" t="s">
        <v>33</v>
      </c>
      <c r="C6089" s="2">
        <f>HYPERLINK("https://sao.dolgi.msk.ru/account/1404118982/", 1404118982)</f>
        <v>1404118982</v>
      </c>
      <c r="D6089">
        <v>1829</v>
      </c>
    </row>
    <row r="6090" spans="1:4" hidden="1" x14ac:dyDescent="0.25">
      <c r="A6090" t="s">
        <v>671</v>
      </c>
      <c r="B6090" t="s">
        <v>34</v>
      </c>
      <c r="C6090" s="2">
        <f>HYPERLINK("https://sao.dolgi.msk.ru/account/1404119002/", 1404119002)</f>
        <v>1404119002</v>
      </c>
      <c r="D6090">
        <v>-497.81</v>
      </c>
    </row>
    <row r="6091" spans="1:4" hidden="1" x14ac:dyDescent="0.25">
      <c r="A6091" t="s">
        <v>671</v>
      </c>
      <c r="B6091" t="s">
        <v>35</v>
      </c>
      <c r="C6091" s="2">
        <f>HYPERLINK("https://sao.dolgi.msk.ru/account/1404119029/", 1404119029)</f>
        <v>1404119029</v>
      </c>
      <c r="D6091">
        <v>-2149.0300000000002</v>
      </c>
    </row>
    <row r="6092" spans="1:4" hidden="1" x14ac:dyDescent="0.25">
      <c r="A6092" t="s">
        <v>671</v>
      </c>
      <c r="B6092" t="s">
        <v>36</v>
      </c>
      <c r="C6092" s="2">
        <f>HYPERLINK("https://sao.dolgi.msk.ru/account/1404119037/", 1404119037)</f>
        <v>1404119037</v>
      </c>
      <c r="D6092">
        <v>-2827.99</v>
      </c>
    </row>
    <row r="6093" spans="1:4" hidden="1" x14ac:dyDescent="0.25">
      <c r="A6093" t="s">
        <v>671</v>
      </c>
      <c r="B6093" t="s">
        <v>37</v>
      </c>
      <c r="C6093" s="2">
        <f>HYPERLINK("https://sao.dolgi.msk.ru/account/1404118413/", 1404118413)</f>
        <v>1404118413</v>
      </c>
      <c r="D6093">
        <v>-704.16</v>
      </c>
    </row>
    <row r="6094" spans="1:4" hidden="1" x14ac:dyDescent="0.25">
      <c r="A6094" t="s">
        <v>671</v>
      </c>
      <c r="B6094" t="s">
        <v>38</v>
      </c>
      <c r="C6094" s="2">
        <f>HYPERLINK("https://sao.dolgi.msk.ru/account/1404119272/", 1404119272)</f>
        <v>1404119272</v>
      </c>
      <c r="D6094">
        <v>-430.18</v>
      </c>
    </row>
    <row r="6095" spans="1:4" hidden="1" x14ac:dyDescent="0.25">
      <c r="A6095" t="s">
        <v>671</v>
      </c>
      <c r="B6095" t="s">
        <v>38</v>
      </c>
      <c r="C6095" s="2">
        <f>HYPERLINK("https://sao.dolgi.msk.ru/account/1404294062/", 1404294062)</f>
        <v>1404294062</v>
      </c>
      <c r="D6095">
        <v>0</v>
      </c>
    </row>
    <row r="6096" spans="1:4" hidden="1" x14ac:dyDescent="0.25">
      <c r="A6096" t="s">
        <v>671</v>
      </c>
      <c r="B6096" t="s">
        <v>38</v>
      </c>
      <c r="C6096" s="2">
        <f>HYPERLINK("https://sao.dolgi.msk.ru/account/1404294089/", 1404294089)</f>
        <v>1404294089</v>
      </c>
      <c r="D6096">
        <v>0</v>
      </c>
    </row>
    <row r="6097" spans="1:4" hidden="1" x14ac:dyDescent="0.25">
      <c r="A6097" t="s">
        <v>671</v>
      </c>
      <c r="B6097" t="s">
        <v>39</v>
      </c>
      <c r="C6097" s="2">
        <f>HYPERLINK("https://sao.dolgi.msk.ru/account/1404118819/", 1404118819)</f>
        <v>1404118819</v>
      </c>
      <c r="D6097">
        <v>-4728.3500000000004</v>
      </c>
    </row>
    <row r="6098" spans="1:4" hidden="1" x14ac:dyDescent="0.25">
      <c r="A6098" t="s">
        <v>671</v>
      </c>
      <c r="B6098" t="s">
        <v>40</v>
      </c>
      <c r="C6098" s="2">
        <f>HYPERLINK("https://sao.dolgi.msk.ru/account/1404118659/", 1404118659)</f>
        <v>1404118659</v>
      </c>
      <c r="D6098">
        <v>-281.23</v>
      </c>
    </row>
    <row r="6099" spans="1:4" hidden="1" x14ac:dyDescent="0.25">
      <c r="A6099" t="s">
        <v>671</v>
      </c>
      <c r="B6099" t="s">
        <v>41</v>
      </c>
      <c r="C6099" s="2">
        <f>HYPERLINK("https://sao.dolgi.msk.ru/account/1404119141/", 1404119141)</f>
        <v>1404119141</v>
      </c>
      <c r="D6099">
        <v>0</v>
      </c>
    </row>
    <row r="6100" spans="1:4" x14ac:dyDescent="0.25">
      <c r="A6100" t="s">
        <v>671</v>
      </c>
      <c r="B6100" t="s">
        <v>42</v>
      </c>
      <c r="C6100" s="2">
        <f>HYPERLINK("https://sao.dolgi.msk.ru/account/1404118421/", 1404118421)</f>
        <v>1404118421</v>
      </c>
      <c r="D6100">
        <v>495</v>
      </c>
    </row>
    <row r="6101" spans="1:4" hidden="1" x14ac:dyDescent="0.25">
      <c r="A6101" t="s">
        <v>671</v>
      </c>
      <c r="B6101" t="s">
        <v>43</v>
      </c>
      <c r="C6101" s="2">
        <f>HYPERLINK("https://sao.dolgi.msk.ru/account/1404119168/", 1404119168)</f>
        <v>1404119168</v>
      </c>
      <c r="D6101">
        <v>-5924.07</v>
      </c>
    </row>
    <row r="6102" spans="1:4" hidden="1" x14ac:dyDescent="0.25">
      <c r="A6102" t="s">
        <v>671</v>
      </c>
      <c r="B6102" t="s">
        <v>44</v>
      </c>
      <c r="C6102" s="2">
        <f>HYPERLINK("https://sao.dolgi.msk.ru/account/1404118667/", 1404118667)</f>
        <v>1404118667</v>
      </c>
      <c r="D6102">
        <v>-2284.33</v>
      </c>
    </row>
    <row r="6103" spans="1:4" hidden="1" x14ac:dyDescent="0.25">
      <c r="A6103" t="s">
        <v>671</v>
      </c>
      <c r="B6103" t="s">
        <v>45</v>
      </c>
      <c r="C6103" s="2">
        <f>HYPERLINK("https://sao.dolgi.msk.ru/account/1404119299/", 1404119299)</f>
        <v>1404119299</v>
      </c>
      <c r="D6103">
        <v>-3692.91</v>
      </c>
    </row>
    <row r="6104" spans="1:4" hidden="1" x14ac:dyDescent="0.25">
      <c r="A6104" t="s">
        <v>671</v>
      </c>
      <c r="B6104" t="s">
        <v>46</v>
      </c>
      <c r="C6104" s="2">
        <f>HYPERLINK("https://sao.dolgi.msk.ru/account/1404118448/", 1404118448)</f>
        <v>1404118448</v>
      </c>
      <c r="D6104">
        <v>-3342.67</v>
      </c>
    </row>
    <row r="6105" spans="1:4" hidden="1" x14ac:dyDescent="0.25">
      <c r="A6105" t="s">
        <v>671</v>
      </c>
      <c r="B6105" t="s">
        <v>47</v>
      </c>
      <c r="C6105" s="2">
        <f>HYPERLINK("https://sao.dolgi.msk.ru/account/1404119045/", 1404119045)</f>
        <v>1404119045</v>
      </c>
      <c r="D6105">
        <v>-4979.21</v>
      </c>
    </row>
    <row r="6106" spans="1:4" x14ac:dyDescent="0.25">
      <c r="A6106" t="s">
        <v>671</v>
      </c>
      <c r="B6106" t="s">
        <v>48</v>
      </c>
      <c r="C6106" s="2">
        <f>HYPERLINK("https://sao.dolgi.msk.ru/account/1404118878/", 1404118878)</f>
        <v>1404118878</v>
      </c>
      <c r="D6106">
        <v>109231.69</v>
      </c>
    </row>
    <row r="6107" spans="1:4" hidden="1" x14ac:dyDescent="0.25">
      <c r="A6107" t="s">
        <v>671</v>
      </c>
      <c r="B6107" t="s">
        <v>48</v>
      </c>
      <c r="C6107" s="2">
        <f>HYPERLINK("https://sao.dolgi.msk.ru/account/1404171185/", 1404171185)</f>
        <v>1404171185</v>
      </c>
      <c r="D6107">
        <v>-2360.34</v>
      </c>
    </row>
    <row r="6108" spans="1:4" x14ac:dyDescent="0.25">
      <c r="A6108" t="s">
        <v>671</v>
      </c>
      <c r="B6108" t="s">
        <v>48</v>
      </c>
      <c r="C6108" s="2">
        <f>HYPERLINK("https://sao.dolgi.msk.ru/account/1404171193/", 1404171193)</f>
        <v>1404171193</v>
      </c>
      <c r="D6108">
        <v>22130.63</v>
      </c>
    </row>
    <row r="6109" spans="1:4" hidden="1" x14ac:dyDescent="0.25">
      <c r="A6109" t="s">
        <v>671</v>
      </c>
      <c r="B6109" t="s">
        <v>49</v>
      </c>
      <c r="C6109" s="2">
        <f>HYPERLINK("https://sao.dolgi.msk.ru/account/1404118528/", 1404118528)</f>
        <v>1404118528</v>
      </c>
      <c r="D6109">
        <v>-5379.07</v>
      </c>
    </row>
    <row r="6110" spans="1:4" hidden="1" x14ac:dyDescent="0.25">
      <c r="A6110" t="s">
        <v>671</v>
      </c>
      <c r="B6110" t="s">
        <v>50</v>
      </c>
      <c r="C6110" s="2">
        <f>HYPERLINK("https://sao.dolgi.msk.ru/account/1404118827/", 1404118827)</f>
        <v>1404118827</v>
      </c>
      <c r="D6110">
        <v>-4970.5600000000004</v>
      </c>
    </row>
    <row r="6111" spans="1:4" hidden="1" x14ac:dyDescent="0.25">
      <c r="A6111" t="s">
        <v>671</v>
      </c>
      <c r="B6111" t="s">
        <v>51</v>
      </c>
      <c r="C6111" s="2">
        <f>HYPERLINK("https://sao.dolgi.msk.ru/account/1404118886/", 1404118886)</f>
        <v>1404118886</v>
      </c>
      <c r="D6111">
        <v>0</v>
      </c>
    </row>
    <row r="6112" spans="1:4" hidden="1" x14ac:dyDescent="0.25">
      <c r="A6112" t="s">
        <v>671</v>
      </c>
      <c r="B6112" t="s">
        <v>52</v>
      </c>
      <c r="C6112" s="2">
        <f>HYPERLINK("https://sao.dolgi.msk.ru/account/1404119053/", 1404119053)</f>
        <v>1404119053</v>
      </c>
      <c r="D6112">
        <v>-7110.18</v>
      </c>
    </row>
    <row r="6113" spans="1:4" hidden="1" x14ac:dyDescent="0.25">
      <c r="A6113" t="s">
        <v>671</v>
      </c>
      <c r="B6113" t="s">
        <v>53</v>
      </c>
      <c r="C6113" s="2">
        <f>HYPERLINK("https://sao.dolgi.msk.ru/account/1404119176/", 1404119176)</f>
        <v>1404119176</v>
      </c>
      <c r="D6113">
        <v>0</v>
      </c>
    </row>
    <row r="6114" spans="1:4" hidden="1" x14ac:dyDescent="0.25">
      <c r="A6114" t="s">
        <v>671</v>
      </c>
      <c r="B6114" t="s">
        <v>54</v>
      </c>
      <c r="C6114" s="2">
        <f>HYPERLINK("https://sao.dolgi.msk.ru/account/1404118894/", 1404118894)</f>
        <v>1404118894</v>
      </c>
      <c r="D6114">
        <v>-4760.9399999999996</v>
      </c>
    </row>
    <row r="6115" spans="1:4" hidden="1" x14ac:dyDescent="0.25">
      <c r="A6115" t="s">
        <v>671</v>
      </c>
      <c r="B6115" t="s">
        <v>55</v>
      </c>
      <c r="C6115" s="2">
        <f>HYPERLINK("https://sao.dolgi.msk.ru/account/1404118675/", 1404118675)</f>
        <v>1404118675</v>
      </c>
      <c r="D6115">
        <v>0</v>
      </c>
    </row>
    <row r="6116" spans="1:4" hidden="1" x14ac:dyDescent="0.25">
      <c r="A6116" t="s">
        <v>671</v>
      </c>
      <c r="B6116" t="s">
        <v>56</v>
      </c>
      <c r="C6116" s="2">
        <f>HYPERLINK("https://sao.dolgi.msk.ru/account/1404118907/", 1404118907)</f>
        <v>1404118907</v>
      </c>
      <c r="D6116">
        <v>-2400.02</v>
      </c>
    </row>
    <row r="6117" spans="1:4" x14ac:dyDescent="0.25">
      <c r="A6117" t="s">
        <v>671</v>
      </c>
      <c r="B6117" t="s">
        <v>56</v>
      </c>
      <c r="C6117" s="2">
        <f>HYPERLINK("https://sao.dolgi.msk.ru/account/1404119221/", 1404119221)</f>
        <v>1404119221</v>
      </c>
      <c r="D6117">
        <v>3809.92</v>
      </c>
    </row>
    <row r="6118" spans="1:4" hidden="1" x14ac:dyDescent="0.25">
      <c r="A6118" t="s">
        <v>671</v>
      </c>
      <c r="B6118" t="s">
        <v>57</v>
      </c>
      <c r="C6118" s="2">
        <f>HYPERLINK("https://sao.dolgi.msk.ru/account/1404119061/", 1404119061)</f>
        <v>1404119061</v>
      </c>
      <c r="D6118">
        <v>-120.76</v>
      </c>
    </row>
    <row r="6119" spans="1:4" hidden="1" x14ac:dyDescent="0.25">
      <c r="A6119" t="s">
        <v>671</v>
      </c>
      <c r="B6119" t="s">
        <v>58</v>
      </c>
      <c r="C6119" s="2">
        <f>HYPERLINK("https://sao.dolgi.msk.ru/account/1404119328/", 1404119328)</f>
        <v>1404119328</v>
      </c>
      <c r="D6119">
        <v>-1308.23</v>
      </c>
    </row>
    <row r="6120" spans="1:4" hidden="1" x14ac:dyDescent="0.25">
      <c r="A6120" t="s">
        <v>671</v>
      </c>
      <c r="B6120" t="s">
        <v>59</v>
      </c>
      <c r="C6120" s="2">
        <f>HYPERLINK("https://sao.dolgi.msk.ru/account/1404118915/", 1404118915)</f>
        <v>1404118915</v>
      </c>
      <c r="D6120">
        <v>-3316.15</v>
      </c>
    </row>
    <row r="6121" spans="1:4" hidden="1" x14ac:dyDescent="0.25">
      <c r="A6121" t="s">
        <v>671</v>
      </c>
      <c r="B6121" t="s">
        <v>60</v>
      </c>
      <c r="C6121" s="2">
        <f>HYPERLINK("https://sao.dolgi.msk.ru/account/1404119192/", 1404119192)</f>
        <v>1404119192</v>
      </c>
      <c r="D6121">
        <v>-4214.3599999999997</v>
      </c>
    </row>
    <row r="6122" spans="1:4" x14ac:dyDescent="0.25">
      <c r="A6122" t="s">
        <v>671</v>
      </c>
      <c r="B6122" t="s">
        <v>61</v>
      </c>
      <c r="C6122" s="2">
        <f>HYPERLINK("https://sao.dolgi.msk.ru/account/1404118456/", 1404118456)</f>
        <v>1404118456</v>
      </c>
      <c r="D6122">
        <v>22038.25</v>
      </c>
    </row>
    <row r="6123" spans="1:4" hidden="1" x14ac:dyDescent="0.25">
      <c r="A6123" t="s">
        <v>671</v>
      </c>
      <c r="B6123" t="s">
        <v>62</v>
      </c>
      <c r="C6123" s="2">
        <f>HYPERLINK("https://sao.dolgi.msk.ru/account/1404118536/", 1404118536)</f>
        <v>1404118536</v>
      </c>
      <c r="D6123">
        <v>-1752.21</v>
      </c>
    </row>
    <row r="6124" spans="1:4" hidden="1" x14ac:dyDescent="0.25">
      <c r="A6124" t="s">
        <v>671</v>
      </c>
      <c r="B6124" t="s">
        <v>63</v>
      </c>
      <c r="C6124" s="2">
        <f>HYPERLINK("https://sao.dolgi.msk.ru/account/1404118544/", 1404118544)</f>
        <v>1404118544</v>
      </c>
      <c r="D6124">
        <v>-4478.46</v>
      </c>
    </row>
    <row r="6125" spans="1:4" hidden="1" x14ac:dyDescent="0.25">
      <c r="A6125" t="s">
        <v>671</v>
      </c>
      <c r="B6125" t="s">
        <v>64</v>
      </c>
      <c r="C6125" s="2">
        <f>HYPERLINK("https://sao.dolgi.msk.ru/account/1404119088/", 1404119088)</f>
        <v>1404119088</v>
      </c>
      <c r="D6125">
        <v>-3240.76</v>
      </c>
    </row>
    <row r="6126" spans="1:4" x14ac:dyDescent="0.25">
      <c r="A6126" t="s">
        <v>671</v>
      </c>
      <c r="B6126" t="s">
        <v>65</v>
      </c>
      <c r="C6126" s="2">
        <f>HYPERLINK("https://sao.dolgi.msk.ru/account/1404118923/", 1404118923)</f>
        <v>1404118923</v>
      </c>
      <c r="D6126">
        <v>18606.3</v>
      </c>
    </row>
    <row r="6127" spans="1:4" x14ac:dyDescent="0.25">
      <c r="A6127" t="s">
        <v>671</v>
      </c>
      <c r="B6127" t="s">
        <v>66</v>
      </c>
      <c r="C6127" s="2">
        <f>HYPERLINK("https://sao.dolgi.msk.ru/account/1404119336/", 1404119336)</f>
        <v>1404119336</v>
      </c>
      <c r="D6127">
        <v>1077</v>
      </c>
    </row>
    <row r="6128" spans="1:4" hidden="1" x14ac:dyDescent="0.25">
      <c r="A6128" t="s">
        <v>671</v>
      </c>
      <c r="B6128" t="s">
        <v>66</v>
      </c>
      <c r="C6128" s="2">
        <f>HYPERLINK("https://sao.dolgi.msk.ru/account/1404293959/", 1404293959)</f>
        <v>1404293959</v>
      </c>
      <c r="D6128">
        <v>0</v>
      </c>
    </row>
    <row r="6129" spans="1:4" hidden="1" x14ac:dyDescent="0.25">
      <c r="A6129" t="s">
        <v>671</v>
      </c>
      <c r="B6129" t="s">
        <v>67</v>
      </c>
      <c r="C6129" s="2">
        <f>HYPERLINK("https://sao.dolgi.msk.ru/account/1404119344/", 1404119344)</f>
        <v>1404119344</v>
      </c>
      <c r="D6129">
        <v>-445.77</v>
      </c>
    </row>
    <row r="6130" spans="1:4" hidden="1" x14ac:dyDescent="0.25">
      <c r="A6130" t="s">
        <v>671</v>
      </c>
      <c r="B6130" t="s">
        <v>68</v>
      </c>
      <c r="C6130" s="2">
        <f>HYPERLINK("https://sao.dolgi.msk.ru/account/1404119205/", 1404119205)</f>
        <v>1404119205</v>
      </c>
      <c r="D6130">
        <v>-3597.16</v>
      </c>
    </row>
    <row r="6131" spans="1:4" hidden="1" x14ac:dyDescent="0.25">
      <c r="A6131" t="s">
        <v>671</v>
      </c>
      <c r="B6131" t="s">
        <v>69</v>
      </c>
      <c r="C6131" s="2">
        <f>HYPERLINK("https://sao.dolgi.msk.ru/account/1404118691/", 1404118691)</f>
        <v>1404118691</v>
      </c>
      <c r="D6131">
        <v>-2979.31</v>
      </c>
    </row>
    <row r="6132" spans="1:4" x14ac:dyDescent="0.25">
      <c r="A6132" t="s">
        <v>671</v>
      </c>
      <c r="B6132" t="s">
        <v>70</v>
      </c>
      <c r="C6132" s="2">
        <f>HYPERLINK("https://sao.dolgi.msk.ru/account/1404118835/", 1404118835)</f>
        <v>1404118835</v>
      </c>
      <c r="D6132">
        <v>397.5</v>
      </c>
    </row>
    <row r="6133" spans="1:4" hidden="1" x14ac:dyDescent="0.25">
      <c r="A6133" t="s">
        <v>671</v>
      </c>
      <c r="B6133" t="s">
        <v>71</v>
      </c>
      <c r="C6133" s="2">
        <f>HYPERLINK("https://sao.dolgi.msk.ru/account/1404118464/", 1404118464)</f>
        <v>1404118464</v>
      </c>
      <c r="D6133">
        <v>-3029.72</v>
      </c>
    </row>
    <row r="6134" spans="1:4" hidden="1" x14ac:dyDescent="0.25">
      <c r="A6134" t="s">
        <v>671</v>
      </c>
      <c r="B6134" t="s">
        <v>72</v>
      </c>
      <c r="C6134" s="2">
        <f>HYPERLINK("https://sao.dolgi.msk.ru/account/1404118931/", 1404118931)</f>
        <v>1404118931</v>
      </c>
      <c r="D6134">
        <v>-3404.5</v>
      </c>
    </row>
    <row r="6135" spans="1:4" x14ac:dyDescent="0.25">
      <c r="A6135" t="s">
        <v>671</v>
      </c>
      <c r="B6135" t="s">
        <v>73</v>
      </c>
      <c r="C6135" s="2">
        <f>HYPERLINK("https://sao.dolgi.msk.ru/account/1404118552/", 1404118552)</f>
        <v>1404118552</v>
      </c>
      <c r="D6135">
        <v>3366.66</v>
      </c>
    </row>
    <row r="6136" spans="1:4" hidden="1" x14ac:dyDescent="0.25">
      <c r="A6136" t="s">
        <v>671</v>
      </c>
      <c r="B6136" t="s">
        <v>74</v>
      </c>
      <c r="C6136" s="2">
        <f>HYPERLINK("https://sao.dolgi.msk.ru/account/1404118704/", 1404118704)</f>
        <v>1404118704</v>
      </c>
      <c r="D6136">
        <v>-1908.25</v>
      </c>
    </row>
    <row r="6137" spans="1:4" hidden="1" x14ac:dyDescent="0.25">
      <c r="A6137" t="s">
        <v>671</v>
      </c>
      <c r="B6137" t="s">
        <v>75</v>
      </c>
      <c r="C6137" s="2">
        <f>HYPERLINK("https://sao.dolgi.msk.ru/account/1404119352/", 1404119352)</f>
        <v>1404119352</v>
      </c>
      <c r="D6137">
        <v>-4422.55</v>
      </c>
    </row>
    <row r="6138" spans="1:4" hidden="1" x14ac:dyDescent="0.25">
      <c r="A6138" t="s">
        <v>671</v>
      </c>
      <c r="B6138" t="s">
        <v>76</v>
      </c>
      <c r="C6138" s="2">
        <f>HYPERLINK("https://sao.dolgi.msk.ru/account/1404119109/", 1404119109)</f>
        <v>1404119109</v>
      </c>
      <c r="D6138">
        <v>-403.81</v>
      </c>
    </row>
    <row r="6139" spans="1:4" hidden="1" x14ac:dyDescent="0.25">
      <c r="A6139" t="s">
        <v>671</v>
      </c>
      <c r="B6139" t="s">
        <v>77</v>
      </c>
      <c r="C6139" s="2">
        <f>HYPERLINK("https://sao.dolgi.msk.ru/account/1404118958/", 1404118958)</f>
        <v>1404118958</v>
      </c>
      <c r="D6139">
        <v>-2420.0300000000002</v>
      </c>
    </row>
    <row r="6140" spans="1:4" hidden="1" x14ac:dyDescent="0.25">
      <c r="A6140" t="s">
        <v>671</v>
      </c>
      <c r="B6140" t="s">
        <v>78</v>
      </c>
      <c r="C6140" s="2">
        <f>HYPERLINK("https://sao.dolgi.msk.ru/account/1404118579/", 1404118579)</f>
        <v>1404118579</v>
      </c>
      <c r="D6140">
        <v>0</v>
      </c>
    </row>
    <row r="6141" spans="1:4" hidden="1" x14ac:dyDescent="0.25">
      <c r="A6141" t="s">
        <v>671</v>
      </c>
      <c r="B6141" t="s">
        <v>79</v>
      </c>
      <c r="C6141" s="2">
        <f>HYPERLINK("https://sao.dolgi.msk.ru/account/1404118712/", 1404118712)</f>
        <v>1404118712</v>
      </c>
      <c r="D6141">
        <v>-3898.04</v>
      </c>
    </row>
    <row r="6142" spans="1:4" hidden="1" x14ac:dyDescent="0.25">
      <c r="A6142" t="s">
        <v>671</v>
      </c>
      <c r="B6142" t="s">
        <v>80</v>
      </c>
      <c r="C6142" s="2">
        <f>HYPERLINK("https://sao.dolgi.msk.ru/account/1404118966/", 1404118966)</f>
        <v>1404118966</v>
      </c>
      <c r="D6142">
        <v>0</v>
      </c>
    </row>
    <row r="6143" spans="1:4" hidden="1" x14ac:dyDescent="0.25">
      <c r="A6143" t="s">
        <v>671</v>
      </c>
      <c r="B6143" t="s">
        <v>81</v>
      </c>
      <c r="C6143" s="2">
        <f>HYPERLINK("https://sao.dolgi.msk.ru/account/1404118739/", 1404118739)</f>
        <v>1404118739</v>
      </c>
      <c r="D6143">
        <v>-4201.7</v>
      </c>
    </row>
    <row r="6144" spans="1:4" hidden="1" x14ac:dyDescent="0.25">
      <c r="A6144" t="s">
        <v>671</v>
      </c>
      <c r="B6144" t="s">
        <v>82</v>
      </c>
      <c r="C6144" s="2">
        <f>HYPERLINK("https://sao.dolgi.msk.ru/account/1404118747/", 1404118747)</f>
        <v>1404118747</v>
      </c>
      <c r="D6144">
        <v>-5137.5600000000004</v>
      </c>
    </row>
    <row r="6145" spans="1:4" hidden="1" x14ac:dyDescent="0.25">
      <c r="A6145" t="s">
        <v>671</v>
      </c>
      <c r="B6145" t="s">
        <v>83</v>
      </c>
      <c r="C6145" s="2">
        <f>HYPERLINK("https://sao.dolgi.msk.ru/account/1404118755/", 1404118755)</f>
        <v>1404118755</v>
      </c>
      <c r="D6145">
        <v>-5212.7299999999996</v>
      </c>
    </row>
    <row r="6146" spans="1:4" x14ac:dyDescent="0.25">
      <c r="A6146" t="s">
        <v>671</v>
      </c>
      <c r="B6146" t="s">
        <v>84</v>
      </c>
      <c r="C6146" s="2">
        <f>HYPERLINK("https://sao.dolgi.msk.ru/account/1404118587/", 1404118587)</f>
        <v>1404118587</v>
      </c>
      <c r="D6146">
        <v>657.04</v>
      </c>
    </row>
    <row r="6147" spans="1:4" hidden="1" x14ac:dyDescent="0.25">
      <c r="A6147" t="s">
        <v>672</v>
      </c>
      <c r="B6147" t="s">
        <v>5</v>
      </c>
      <c r="C6147" s="2">
        <f>HYPERLINK("https://sao.dolgi.msk.ru/account/1404120265/", 1404120265)</f>
        <v>1404120265</v>
      </c>
      <c r="D6147">
        <v>-4523.6099999999997</v>
      </c>
    </row>
    <row r="6148" spans="1:4" hidden="1" x14ac:dyDescent="0.25">
      <c r="A6148" t="s">
        <v>672</v>
      </c>
      <c r="B6148" t="s">
        <v>6</v>
      </c>
      <c r="C6148" s="2">
        <f>HYPERLINK("https://sao.dolgi.msk.ru/account/1404119846/", 1404119846)</f>
        <v>1404119846</v>
      </c>
      <c r="D6148">
        <v>-3503.27</v>
      </c>
    </row>
    <row r="6149" spans="1:4" hidden="1" x14ac:dyDescent="0.25">
      <c r="A6149" t="s">
        <v>672</v>
      </c>
      <c r="B6149" t="s">
        <v>7</v>
      </c>
      <c r="C6149" s="2">
        <f>HYPERLINK("https://sao.dolgi.msk.ru/account/1404119643/", 1404119643)</f>
        <v>1404119643</v>
      </c>
      <c r="D6149">
        <v>-2828.69</v>
      </c>
    </row>
    <row r="6150" spans="1:4" hidden="1" x14ac:dyDescent="0.25">
      <c r="A6150" t="s">
        <v>672</v>
      </c>
      <c r="B6150" t="s">
        <v>8</v>
      </c>
      <c r="C6150" s="2">
        <f>HYPERLINK("https://sao.dolgi.msk.ru/account/1404119766/", 1404119766)</f>
        <v>1404119766</v>
      </c>
      <c r="D6150">
        <v>0</v>
      </c>
    </row>
    <row r="6151" spans="1:4" x14ac:dyDescent="0.25">
      <c r="A6151" t="s">
        <v>672</v>
      </c>
      <c r="B6151" t="s">
        <v>9</v>
      </c>
      <c r="C6151" s="2">
        <f>HYPERLINK("https://sao.dolgi.msk.ru/account/1404119387/", 1404119387)</f>
        <v>1404119387</v>
      </c>
      <c r="D6151">
        <v>329.85</v>
      </c>
    </row>
    <row r="6152" spans="1:4" hidden="1" x14ac:dyDescent="0.25">
      <c r="A6152" t="s">
        <v>672</v>
      </c>
      <c r="B6152" t="s">
        <v>10</v>
      </c>
      <c r="C6152" s="2">
        <f>HYPERLINK("https://sao.dolgi.msk.ru/account/1404119707/", 1404119707)</f>
        <v>1404119707</v>
      </c>
      <c r="D6152">
        <v>-2041.13</v>
      </c>
    </row>
    <row r="6153" spans="1:4" hidden="1" x14ac:dyDescent="0.25">
      <c r="A6153" t="s">
        <v>672</v>
      </c>
      <c r="B6153" t="s">
        <v>11</v>
      </c>
      <c r="C6153" s="2">
        <f>HYPERLINK("https://sao.dolgi.msk.ru/account/1404119547/", 1404119547)</f>
        <v>1404119547</v>
      </c>
      <c r="D6153">
        <v>-6027.94</v>
      </c>
    </row>
    <row r="6154" spans="1:4" hidden="1" x14ac:dyDescent="0.25">
      <c r="A6154" t="s">
        <v>672</v>
      </c>
      <c r="B6154" t="s">
        <v>12</v>
      </c>
      <c r="C6154" s="2">
        <f>HYPERLINK("https://sao.dolgi.msk.ru/account/1404119563/", 1404119563)</f>
        <v>1404119563</v>
      </c>
      <c r="D6154">
        <v>-6752.87</v>
      </c>
    </row>
    <row r="6155" spans="1:4" hidden="1" x14ac:dyDescent="0.25">
      <c r="A6155" t="s">
        <v>672</v>
      </c>
      <c r="B6155" t="s">
        <v>13</v>
      </c>
      <c r="C6155" s="2">
        <f>HYPERLINK("https://sao.dolgi.msk.ru/account/1404119571/", 1404119571)</f>
        <v>1404119571</v>
      </c>
      <c r="D6155">
        <v>-3641.07</v>
      </c>
    </row>
    <row r="6156" spans="1:4" hidden="1" x14ac:dyDescent="0.25">
      <c r="A6156" t="s">
        <v>672</v>
      </c>
      <c r="B6156" t="s">
        <v>14</v>
      </c>
      <c r="C6156" s="2">
        <f>HYPERLINK("https://sao.dolgi.msk.ru/account/1404120273/", 1404120273)</f>
        <v>1404120273</v>
      </c>
      <c r="D6156">
        <v>-4661.1400000000003</v>
      </c>
    </row>
    <row r="6157" spans="1:4" hidden="1" x14ac:dyDescent="0.25">
      <c r="A6157" t="s">
        <v>672</v>
      </c>
      <c r="B6157" t="s">
        <v>15</v>
      </c>
      <c r="C6157" s="2">
        <f>HYPERLINK("https://sao.dolgi.msk.ru/account/1404119432/", 1404119432)</f>
        <v>1404119432</v>
      </c>
      <c r="D6157">
        <v>-4957.0600000000004</v>
      </c>
    </row>
    <row r="6158" spans="1:4" hidden="1" x14ac:dyDescent="0.25">
      <c r="A6158" t="s">
        <v>672</v>
      </c>
      <c r="B6158" t="s">
        <v>16</v>
      </c>
      <c r="C6158" s="2">
        <f>HYPERLINK("https://sao.dolgi.msk.ru/account/1404120142/", 1404120142)</f>
        <v>1404120142</v>
      </c>
      <c r="D6158">
        <v>-5162.3500000000004</v>
      </c>
    </row>
    <row r="6159" spans="1:4" x14ac:dyDescent="0.25">
      <c r="A6159" t="s">
        <v>672</v>
      </c>
      <c r="B6159" t="s">
        <v>17</v>
      </c>
      <c r="C6159" s="2">
        <f>HYPERLINK("https://sao.dolgi.msk.ru/account/1404119811/", 1404119811)</f>
        <v>1404119811</v>
      </c>
      <c r="D6159">
        <v>436.5</v>
      </c>
    </row>
    <row r="6160" spans="1:4" x14ac:dyDescent="0.25">
      <c r="A6160" t="s">
        <v>672</v>
      </c>
      <c r="B6160" t="s">
        <v>18</v>
      </c>
      <c r="C6160" s="2">
        <f>HYPERLINK("https://sao.dolgi.msk.ru/account/1404120281/", 1404120281)</f>
        <v>1404120281</v>
      </c>
      <c r="D6160">
        <v>22541.33</v>
      </c>
    </row>
    <row r="6161" spans="1:4" hidden="1" x14ac:dyDescent="0.25">
      <c r="A6161" t="s">
        <v>672</v>
      </c>
      <c r="B6161" t="s">
        <v>19</v>
      </c>
      <c r="C6161" s="2">
        <f>HYPERLINK("https://sao.dolgi.msk.ru/account/1404120302/", 1404120302)</f>
        <v>1404120302</v>
      </c>
      <c r="D6161">
        <v>-6941.62</v>
      </c>
    </row>
    <row r="6162" spans="1:4" hidden="1" x14ac:dyDescent="0.25">
      <c r="A6162" t="s">
        <v>672</v>
      </c>
      <c r="B6162" t="s">
        <v>20</v>
      </c>
      <c r="C6162" s="2">
        <f>HYPERLINK("https://sao.dolgi.msk.ru/account/1404119598/", 1404119598)</f>
        <v>1404119598</v>
      </c>
      <c r="D6162">
        <v>-154.65</v>
      </c>
    </row>
    <row r="6163" spans="1:4" hidden="1" x14ac:dyDescent="0.25">
      <c r="A6163" t="s">
        <v>672</v>
      </c>
      <c r="B6163" t="s">
        <v>21</v>
      </c>
      <c r="C6163" s="2">
        <f>HYPERLINK("https://sao.dolgi.msk.ru/account/1404150245/", 1404150245)</f>
        <v>1404150245</v>
      </c>
      <c r="D6163">
        <v>-2102.75</v>
      </c>
    </row>
    <row r="6164" spans="1:4" hidden="1" x14ac:dyDescent="0.25">
      <c r="A6164" t="s">
        <v>672</v>
      </c>
      <c r="B6164" t="s">
        <v>22</v>
      </c>
      <c r="C6164" s="2">
        <f>HYPERLINK("https://sao.dolgi.msk.ru/account/1404119619/", 1404119619)</f>
        <v>1404119619</v>
      </c>
      <c r="D6164">
        <v>-3289.11</v>
      </c>
    </row>
    <row r="6165" spans="1:4" x14ac:dyDescent="0.25">
      <c r="A6165" t="s">
        <v>672</v>
      </c>
      <c r="B6165" t="s">
        <v>23</v>
      </c>
      <c r="C6165" s="2">
        <f>HYPERLINK("https://sao.dolgi.msk.ru/account/1404119459/", 1404119459)</f>
        <v>1404119459</v>
      </c>
      <c r="D6165">
        <v>7969.3</v>
      </c>
    </row>
    <row r="6166" spans="1:4" hidden="1" x14ac:dyDescent="0.25">
      <c r="A6166" t="s">
        <v>672</v>
      </c>
      <c r="B6166" t="s">
        <v>24</v>
      </c>
      <c r="C6166" s="2">
        <f>HYPERLINK("https://sao.dolgi.msk.ru/account/1404120329/", 1404120329)</f>
        <v>1404120329</v>
      </c>
      <c r="D6166">
        <v>-5579.15</v>
      </c>
    </row>
    <row r="6167" spans="1:4" hidden="1" x14ac:dyDescent="0.25">
      <c r="A6167" t="s">
        <v>672</v>
      </c>
      <c r="B6167" t="s">
        <v>25</v>
      </c>
      <c r="C6167" s="2">
        <f>HYPERLINK("https://sao.dolgi.msk.ru/account/1404119467/", 1404119467)</f>
        <v>1404119467</v>
      </c>
      <c r="D6167">
        <v>-3107.46</v>
      </c>
    </row>
    <row r="6168" spans="1:4" hidden="1" x14ac:dyDescent="0.25">
      <c r="A6168" t="s">
        <v>672</v>
      </c>
      <c r="B6168" t="s">
        <v>26</v>
      </c>
      <c r="C6168" s="2">
        <f>HYPERLINK("https://sao.dolgi.msk.ru/account/1404120337/", 1404120337)</f>
        <v>1404120337</v>
      </c>
      <c r="D6168">
        <v>0</v>
      </c>
    </row>
    <row r="6169" spans="1:4" hidden="1" x14ac:dyDescent="0.25">
      <c r="A6169" t="s">
        <v>672</v>
      </c>
      <c r="B6169" t="s">
        <v>27</v>
      </c>
      <c r="C6169" s="2">
        <f>HYPERLINK("https://sao.dolgi.msk.ru/account/1404119627/", 1404119627)</f>
        <v>1404119627</v>
      </c>
      <c r="D6169">
        <v>-5303.24</v>
      </c>
    </row>
    <row r="6170" spans="1:4" x14ac:dyDescent="0.25">
      <c r="A6170" t="s">
        <v>672</v>
      </c>
      <c r="B6170" t="s">
        <v>28</v>
      </c>
      <c r="C6170" s="2">
        <f>HYPERLINK("https://sao.dolgi.msk.ru/account/1404119475/", 1404119475)</f>
        <v>1404119475</v>
      </c>
      <c r="D6170">
        <v>24718.32</v>
      </c>
    </row>
    <row r="6171" spans="1:4" hidden="1" x14ac:dyDescent="0.25">
      <c r="A6171" t="s">
        <v>672</v>
      </c>
      <c r="B6171" t="s">
        <v>29</v>
      </c>
      <c r="C6171" s="2">
        <f>HYPERLINK("https://sao.dolgi.msk.ru/account/1404119993/", 1404119993)</f>
        <v>1404119993</v>
      </c>
      <c r="D6171">
        <v>-3937.72</v>
      </c>
    </row>
    <row r="6172" spans="1:4" hidden="1" x14ac:dyDescent="0.25">
      <c r="A6172" t="s">
        <v>672</v>
      </c>
      <c r="B6172" t="s">
        <v>30</v>
      </c>
      <c r="C6172" s="2">
        <f>HYPERLINK("https://sao.dolgi.msk.ru/account/1404119723/", 1404119723)</f>
        <v>1404119723</v>
      </c>
      <c r="D6172">
        <v>0</v>
      </c>
    </row>
    <row r="6173" spans="1:4" hidden="1" x14ac:dyDescent="0.25">
      <c r="A6173" t="s">
        <v>672</v>
      </c>
      <c r="B6173" t="s">
        <v>31</v>
      </c>
      <c r="C6173" s="2">
        <f>HYPERLINK("https://sao.dolgi.msk.ru/account/1404119635/", 1404119635)</f>
        <v>1404119635</v>
      </c>
      <c r="D6173">
        <v>-5686.01</v>
      </c>
    </row>
    <row r="6174" spans="1:4" hidden="1" x14ac:dyDescent="0.25">
      <c r="A6174" t="s">
        <v>672</v>
      </c>
      <c r="B6174" t="s">
        <v>32</v>
      </c>
      <c r="C6174" s="2">
        <f>HYPERLINK("https://sao.dolgi.msk.ru/account/1404120345/", 1404120345)</f>
        <v>1404120345</v>
      </c>
      <c r="D6174">
        <v>-2196.27</v>
      </c>
    </row>
    <row r="6175" spans="1:4" hidden="1" x14ac:dyDescent="0.25">
      <c r="A6175" t="s">
        <v>672</v>
      </c>
      <c r="B6175" t="s">
        <v>33</v>
      </c>
      <c r="C6175" s="2">
        <f>HYPERLINK("https://sao.dolgi.msk.ru/account/1404120003/", 1404120003)</f>
        <v>1404120003</v>
      </c>
      <c r="D6175">
        <v>-4453.75</v>
      </c>
    </row>
    <row r="6176" spans="1:4" hidden="1" x14ac:dyDescent="0.25">
      <c r="A6176" t="s">
        <v>672</v>
      </c>
      <c r="B6176" t="s">
        <v>34</v>
      </c>
      <c r="C6176" s="2">
        <f>HYPERLINK("https://sao.dolgi.msk.ru/account/1404120169/", 1404120169)</f>
        <v>1404120169</v>
      </c>
      <c r="D6176">
        <v>0</v>
      </c>
    </row>
    <row r="6177" spans="1:4" hidden="1" x14ac:dyDescent="0.25">
      <c r="A6177" t="s">
        <v>672</v>
      </c>
      <c r="B6177" t="s">
        <v>35</v>
      </c>
      <c r="C6177" s="2">
        <f>HYPERLINK("https://sao.dolgi.msk.ru/account/1404120011/", 1404120011)</f>
        <v>1404120011</v>
      </c>
      <c r="D6177">
        <v>-2984.91</v>
      </c>
    </row>
    <row r="6178" spans="1:4" hidden="1" x14ac:dyDescent="0.25">
      <c r="A6178" t="s">
        <v>672</v>
      </c>
      <c r="B6178" t="s">
        <v>36</v>
      </c>
      <c r="C6178" s="2">
        <f>HYPERLINK("https://sao.dolgi.msk.ru/account/1404120177/", 1404120177)</f>
        <v>1404120177</v>
      </c>
      <c r="D6178">
        <v>-2414.1999999999998</v>
      </c>
    </row>
    <row r="6179" spans="1:4" hidden="1" x14ac:dyDescent="0.25">
      <c r="A6179" t="s">
        <v>672</v>
      </c>
      <c r="B6179" t="s">
        <v>37</v>
      </c>
      <c r="C6179" s="2">
        <f>HYPERLINK("https://sao.dolgi.msk.ru/account/1404119651/", 1404119651)</f>
        <v>1404119651</v>
      </c>
      <c r="D6179">
        <v>-106.8</v>
      </c>
    </row>
    <row r="6180" spans="1:4" hidden="1" x14ac:dyDescent="0.25">
      <c r="A6180" t="s">
        <v>672</v>
      </c>
      <c r="B6180" t="s">
        <v>38</v>
      </c>
      <c r="C6180" s="2">
        <f>HYPERLINK("https://sao.dolgi.msk.ru/account/1404119678/", 1404119678)</f>
        <v>1404119678</v>
      </c>
      <c r="D6180">
        <v>-5113.58</v>
      </c>
    </row>
    <row r="6181" spans="1:4" hidden="1" x14ac:dyDescent="0.25">
      <c r="A6181" t="s">
        <v>672</v>
      </c>
      <c r="B6181" t="s">
        <v>39</v>
      </c>
      <c r="C6181" s="2">
        <f>HYPERLINK("https://sao.dolgi.msk.ru/account/1404120038/", 1404120038)</f>
        <v>1404120038</v>
      </c>
      <c r="D6181">
        <v>-2972.6</v>
      </c>
    </row>
    <row r="6182" spans="1:4" hidden="1" x14ac:dyDescent="0.25">
      <c r="A6182" t="s">
        <v>672</v>
      </c>
      <c r="B6182" t="s">
        <v>40</v>
      </c>
      <c r="C6182" s="2">
        <f>HYPERLINK("https://sao.dolgi.msk.ru/account/1404119686/", 1404119686)</f>
        <v>1404119686</v>
      </c>
      <c r="D6182">
        <v>0</v>
      </c>
    </row>
    <row r="6183" spans="1:4" x14ac:dyDescent="0.25">
      <c r="A6183" t="s">
        <v>672</v>
      </c>
      <c r="B6183" t="s">
        <v>41</v>
      </c>
      <c r="C6183" s="2">
        <f>HYPERLINK("https://sao.dolgi.msk.ru/account/1404119854/", 1404119854)</f>
        <v>1404119854</v>
      </c>
      <c r="D6183">
        <v>15246.28</v>
      </c>
    </row>
    <row r="6184" spans="1:4" x14ac:dyDescent="0.25">
      <c r="A6184" t="s">
        <v>672</v>
      </c>
      <c r="B6184" t="s">
        <v>42</v>
      </c>
      <c r="C6184" s="2">
        <f>HYPERLINK("https://sao.dolgi.msk.ru/account/1404119731/", 1404119731)</f>
        <v>1404119731</v>
      </c>
      <c r="D6184">
        <v>6933.69</v>
      </c>
    </row>
    <row r="6185" spans="1:4" hidden="1" x14ac:dyDescent="0.25">
      <c r="A6185" t="s">
        <v>672</v>
      </c>
      <c r="B6185" t="s">
        <v>43</v>
      </c>
      <c r="C6185" s="2">
        <f>HYPERLINK("https://sao.dolgi.msk.ru/account/1404119758/", 1404119758)</f>
        <v>1404119758</v>
      </c>
      <c r="D6185">
        <v>-3173.28</v>
      </c>
    </row>
    <row r="6186" spans="1:4" hidden="1" x14ac:dyDescent="0.25">
      <c r="A6186" t="s">
        <v>672</v>
      </c>
      <c r="B6186" t="s">
        <v>44</v>
      </c>
      <c r="C6186" s="2">
        <f>HYPERLINK("https://sao.dolgi.msk.ru/account/1404119379/", 1404119379)</f>
        <v>1404119379</v>
      </c>
      <c r="D6186">
        <v>-5416.36</v>
      </c>
    </row>
    <row r="6187" spans="1:4" hidden="1" x14ac:dyDescent="0.25">
      <c r="A6187" t="s">
        <v>672</v>
      </c>
      <c r="B6187" t="s">
        <v>45</v>
      </c>
      <c r="C6187" s="2">
        <f>HYPERLINK("https://sao.dolgi.msk.ru/account/1404119483/", 1404119483)</f>
        <v>1404119483</v>
      </c>
      <c r="D6187">
        <v>-5298.09</v>
      </c>
    </row>
    <row r="6188" spans="1:4" hidden="1" x14ac:dyDescent="0.25">
      <c r="A6188" t="s">
        <v>672</v>
      </c>
      <c r="B6188" t="s">
        <v>46</v>
      </c>
      <c r="C6188" s="2">
        <f>HYPERLINK("https://sao.dolgi.msk.ru/account/1404120353/", 1404120353)</f>
        <v>1404120353</v>
      </c>
      <c r="D6188">
        <v>-5488.79</v>
      </c>
    </row>
    <row r="6189" spans="1:4" x14ac:dyDescent="0.25">
      <c r="A6189" t="s">
        <v>672</v>
      </c>
      <c r="B6189" t="s">
        <v>47</v>
      </c>
      <c r="C6189" s="2">
        <f>HYPERLINK("https://sao.dolgi.msk.ru/account/1404119694/", 1404119694)</f>
        <v>1404119694</v>
      </c>
      <c r="D6189">
        <v>6498.88</v>
      </c>
    </row>
    <row r="6190" spans="1:4" hidden="1" x14ac:dyDescent="0.25">
      <c r="A6190" t="s">
        <v>672</v>
      </c>
      <c r="B6190" t="s">
        <v>48</v>
      </c>
      <c r="C6190" s="2">
        <f>HYPERLINK("https://sao.dolgi.msk.ru/account/1404119862/", 1404119862)</f>
        <v>1404119862</v>
      </c>
      <c r="D6190">
        <v>-4785.07</v>
      </c>
    </row>
    <row r="6191" spans="1:4" hidden="1" x14ac:dyDescent="0.25">
      <c r="A6191" t="s">
        <v>672</v>
      </c>
      <c r="B6191" t="s">
        <v>49</v>
      </c>
      <c r="C6191" s="2">
        <f>HYPERLINK("https://sao.dolgi.msk.ru/account/1404119491/", 1404119491)</f>
        <v>1404119491</v>
      </c>
      <c r="D6191">
        <v>-2479.9</v>
      </c>
    </row>
    <row r="6192" spans="1:4" hidden="1" x14ac:dyDescent="0.25">
      <c r="A6192" t="s">
        <v>672</v>
      </c>
      <c r="B6192" t="s">
        <v>50</v>
      </c>
      <c r="C6192" s="2">
        <f>HYPERLINK("https://sao.dolgi.msk.ru/account/1404119774/", 1404119774)</f>
        <v>1404119774</v>
      </c>
      <c r="D6192">
        <v>-922.15</v>
      </c>
    </row>
    <row r="6193" spans="1:4" hidden="1" x14ac:dyDescent="0.25">
      <c r="A6193" t="s">
        <v>672</v>
      </c>
      <c r="B6193" t="s">
        <v>51</v>
      </c>
      <c r="C6193" s="2">
        <f>HYPERLINK("https://sao.dolgi.msk.ru/account/1404120185/", 1404120185)</f>
        <v>1404120185</v>
      </c>
      <c r="D6193">
        <v>-490</v>
      </c>
    </row>
    <row r="6194" spans="1:4" hidden="1" x14ac:dyDescent="0.25">
      <c r="A6194" t="s">
        <v>672</v>
      </c>
      <c r="B6194" t="s">
        <v>52</v>
      </c>
      <c r="C6194" s="2">
        <f>HYPERLINK("https://sao.dolgi.msk.ru/account/1404119889/", 1404119889)</f>
        <v>1404119889</v>
      </c>
      <c r="D6194">
        <v>0</v>
      </c>
    </row>
    <row r="6195" spans="1:4" hidden="1" x14ac:dyDescent="0.25">
      <c r="A6195" t="s">
        <v>672</v>
      </c>
      <c r="B6195" t="s">
        <v>53</v>
      </c>
      <c r="C6195" s="2">
        <f>HYPERLINK("https://sao.dolgi.msk.ru/account/1404120046/", 1404120046)</f>
        <v>1404120046</v>
      </c>
      <c r="D6195">
        <v>-6619.85</v>
      </c>
    </row>
    <row r="6196" spans="1:4" hidden="1" x14ac:dyDescent="0.25">
      <c r="A6196" t="s">
        <v>672</v>
      </c>
      <c r="B6196" t="s">
        <v>54</v>
      </c>
      <c r="C6196" s="2">
        <f>HYPERLINK("https://sao.dolgi.msk.ru/account/1404119504/", 1404119504)</f>
        <v>1404119504</v>
      </c>
      <c r="D6196">
        <v>-5752.27</v>
      </c>
    </row>
    <row r="6197" spans="1:4" hidden="1" x14ac:dyDescent="0.25">
      <c r="A6197" t="s">
        <v>672</v>
      </c>
      <c r="B6197" t="s">
        <v>55</v>
      </c>
      <c r="C6197" s="2">
        <f>HYPERLINK("https://sao.dolgi.msk.ru/account/1404119985/", 1404119985)</f>
        <v>1404119985</v>
      </c>
      <c r="D6197">
        <v>-355.85</v>
      </c>
    </row>
    <row r="6198" spans="1:4" hidden="1" x14ac:dyDescent="0.25">
      <c r="A6198" t="s">
        <v>672</v>
      </c>
      <c r="B6198" t="s">
        <v>56</v>
      </c>
      <c r="C6198" s="2">
        <f>HYPERLINK("https://sao.dolgi.msk.ru/account/1404119897/", 1404119897)</f>
        <v>1404119897</v>
      </c>
      <c r="D6198">
        <v>-5799.94</v>
      </c>
    </row>
    <row r="6199" spans="1:4" x14ac:dyDescent="0.25">
      <c r="A6199" t="s">
        <v>672</v>
      </c>
      <c r="B6199" t="s">
        <v>57</v>
      </c>
      <c r="C6199" s="2">
        <f>HYPERLINK("https://sao.dolgi.msk.ru/account/1404120054/", 1404120054)</f>
        <v>1404120054</v>
      </c>
      <c r="D6199">
        <v>17525.97</v>
      </c>
    </row>
    <row r="6200" spans="1:4" hidden="1" x14ac:dyDescent="0.25">
      <c r="A6200" t="s">
        <v>672</v>
      </c>
      <c r="B6200" t="s">
        <v>58</v>
      </c>
      <c r="C6200" s="2">
        <f>HYPERLINK("https://sao.dolgi.msk.ru/account/1404120361/", 1404120361)</f>
        <v>1404120361</v>
      </c>
      <c r="D6200">
        <v>0</v>
      </c>
    </row>
    <row r="6201" spans="1:4" hidden="1" x14ac:dyDescent="0.25">
      <c r="A6201" t="s">
        <v>672</v>
      </c>
      <c r="B6201" t="s">
        <v>59</v>
      </c>
      <c r="C6201" s="2">
        <f>HYPERLINK("https://sao.dolgi.msk.ru/account/1404120062/", 1404120062)</f>
        <v>1404120062</v>
      </c>
      <c r="D6201">
        <v>-2408.66</v>
      </c>
    </row>
    <row r="6202" spans="1:4" x14ac:dyDescent="0.25">
      <c r="A6202" t="s">
        <v>672</v>
      </c>
      <c r="B6202" t="s">
        <v>60</v>
      </c>
      <c r="C6202" s="2">
        <f>HYPERLINK("https://sao.dolgi.msk.ru/account/1404120193/", 1404120193)</f>
        <v>1404120193</v>
      </c>
      <c r="D6202">
        <v>9884.4699999999993</v>
      </c>
    </row>
    <row r="6203" spans="1:4" hidden="1" x14ac:dyDescent="0.25">
      <c r="A6203" t="s">
        <v>672</v>
      </c>
      <c r="B6203" t="s">
        <v>61</v>
      </c>
      <c r="C6203" s="2">
        <f>HYPERLINK("https://sao.dolgi.msk.ru/account/1404119512/", 1404119512)</f>
        <v>1404119512</v>
      </c>
      <c r="D6203">
        <v>-2677.08</v>
      </c>
    </row>
    <row r="6204" spans="1:4" hidden="1" x14ac:dyDescent="0.25">
      <c r="A6204" t="s">
        <v>672</v>
      </c>
      <c r="B6204" t="s">
        <v>62</v>
      </c>
      <c r="C6204" s="2">
        <f>HYPERLINK("https://sao.dolgi.msk.ru/account/1404120206/", 1404120206)</f>
        <v>1404120206</v>
      </c>
      <c r="D6204">
        <v>0</v>
      </c>
    </row>
    <row r="6205" spans="1:4" hidden="1" x14ac:dyDescent="0.25">
      <c r="A6205" t="s">
        <v>672</v>
      </c>
      <c r="B6205" t="s">
        <v>63</v>
      </c>
      <c r="C6205" s="2">
        <f>HYPERLINK("https://sao.dolgi.msk.ru/account/1404120388/", 1404120388)</f>
        <v>1404120388</v>
      </c>
      <c r="D6205">
        <v>-996</v>
      </c>
    </row>
    <row r="6206" spans="1:4" hidden="1" x14ac:dyDescent="0.25">
      <c r="A6206" t="s">
        <v>672</v>
      </c>
      <c r="B6206" t="s">
        <v>64</v>
      </c>
      <c r="C6206" s="2">
        <f>HYPERLINK("https://sao.dolgi.msk.ru/account/1404120089/", 1404120089)</f>
        <v>1404120089</v>
      </c>
      <c r="D6206">
        <v>-3898</v>
      </c>
    </row>
    <row r="6207" spans="1:4" hidden="1" x14ac:dyDescent="0.25">
      <c r="A6207" t="s">
        <v>672</v>
      </c>
      <c r="B6207" t="s">
        <v>65</v>
      </c>
      <c r="C6207" s="2">
        <f>HYPERLINK("https://sao.dolgi.msk.ru/account/1404119918/", 1404119918)</f>
        <v>1404119918</v>
      </c>
      <c r="D6207">
        <v>0</v>
      </c>
    </row>
    <row r="6208" spans="1:4" hidden="1" x14ac:dyDescent="0.25">
      <c r="A6208" t="s">
        <v>672</v>
      </c>
      <c r="B6208" t="s">
        <v>66</v>
      </c>
      <c r="C6208" s="2">
        <f>HYPERLINK("https://sao.dolgi.msk.ru/account/1404119926/", 1404119926)</f>
        <v>1404119926</v>
      </c>
      <c r="D6208">
        <v>-4483.3599999999997</v>
      </c>
    </row>
    <row r="6209" spans="1:4" x14ac:dyDescent="0.25">
      <c r="A6209" t="s">
        <v>672</v>
      </c>
      <c r="B6209" t="s">
        <v>67</v>
      </c>
      <c r="C6209" s="2">
        <f>HYPERLINK("https://sao.dolgi.msk.ru/account/1404119782/", 1404119782)</f>
        <v>1404119782</v>
      </c>
      <c r="D6209">
        <v>480</v>
      </c>
    </row>
    <row r="6210" spans="1:4" hidden="1" x14ac:dyDescent="0.25">
      <c r="A6210" t="s">
        <v>672</v>
      </c>
      <c r="B6210" t="s">
        <v>68</v>
      </c>
      <c r="C6210" s="2">
        <f>HYPERLINK("https://sao.dolgi.msk.ru/account/1404119416/", 1404119416)</f>
        <v>1404119416</v>
      </c>
      <c r="D6210">
        <v>-4135.88</v>
      </c>
    </row>
    <row r="6211" spans="1:4" hidden="1" x14ac:dyDescent="0.25">
      <c r="A6211" t="s">
        <v>672</v>
      </c>
      <c r="B6211" t="s">
        <v>69</v>
      </c>
      <c r="C6211" s="2">
        <f>HYPERLINK("https://sao.dolgi.msk.ru/account/1404120214/", 1404120214)</f>
        <v>1404120214</v>
      </c>
      <c r="D6211">
        <v>-87.62</v>
      </c>
    </row>
    <row r="6212" spans="1:4" hidden="1" x14ac:dyDescent="0.25">
      <c r="A6212" t="s">
        <v>672</v>
      </c>
      <c r="B6212" t="s">
        <v>70</v>
      </c>
      <c r="C6212" s="2">
        <f>HYPERLINK("https://sao.dolgi.msk.ru/account/1404119934/", 1404119934)</f>
        <v>1404119934</v>
      </c>
      <c r="D6212">
        <v>-2197.6999999999998</v>
      </c>
    </row>
    <row r="6213" spans="1:4" x14ac:dyDescent="0.25">
      <c r="A6213" t="s">
        <v>672</v>
      </c>
      <c r="B6213" t="s">
        <v>71</v>
      </c>
      <c r="C6213" s="2">
        <f>HYPERLINK("https://sao.dolgi.msk.ru/account/1404120222/", 1404120222)</f>
        <v>1404120222</v>
      </c>
      <c r="D6213">
        <v>2663.41</v>
      </c>
    </row>
    <row r="6214" spans="1:4" hidden="1" x14ac:dyDescent="0.25">
      <c r="A6214" t="s">
        <v>672</v>
      </c>
      <c r="B6214" t="s">
        <v>72</v>
      </c>
      <c r="C6214" s="2">
        <f>HYPERLINK("https://sao.dolgi.msk.ru/account/1404119539/", 1404119539)</f>
        <v>1404119539</v>
      </c>
      <c r="D6214">
        <v>-2063.66</v>
      </c>
    </row>
    <row r="6215" spans="1:4" hidden="1" x14ac:dyDescent="0.25">
      <c r="A6215" t="s">
        <v>672</v>
      </c>
      <c r="B6215" t="s">
        <v>73</v>
      </c>
      <c r="C6215" s="2">
        <f>HYPERLINK("https://sao.dolgi.msk.ru/account/1404120249/", 1404120249)</f>
        <v>1404120249</v>
      </c>
      <c r="D6215">
        <v>-2127.16</v>
      </c>
    </row>
    <row r="6216" spans="1:4" hidden="1" x14ac:dyDescent="0.25">
      <c r="A6216" t="s">
        <v>672</v>
      </c>
      <c r="B6216" t="s">
        <v>74</v>
      </c>
      <c r="C6216" s="2">
        <f>HYPERLINK("https://sao.dolgi.msk.ru/account/1404119408/", 1404119408)</f>
        <v>1404119408</v>
      </c>
      <c r="D6216">
        <v>-6453.16</v>
      </c>
    </row>
    <row r="6217" spans="1:4" hidden="1" x14ac:dyDescent="0.25">
      <c r="A6217" t="s">
        <v>672</v>
      </c>
      <c r="B6217" t="s">
        <v>75</v>
      </c>
      <c r="C6217" s="2">
        <f>HYPERLINK("https://sao.dolgi.msk.ru/account/1404120257/", 1404120257)</f>
        <v>1404120257</v>
      </c>
      <c r="D6217">
        <v>-2157.19</v>
      </c>
    </row>
    <row r="6218" spans="1:4" hidden="1" x14ac:dyDescent="0.25">
      <c r="A6218" t="s">
        <v>672</v>
      </c>
      <c r="B6218" t="s">
        <v>76</v>
      </c>
      <c r="C6218" s="2">
        <f>HYPERLINK("https://sao.dolgi.msk.ru/account/1404119942/", 1404119942)</f>
        <v>1404119942</v>
      </c>
      <c r="D6218">
        <v>-796.31</v>
      </c>
    </row>
    <row r="6219" spans="1:4" hidden="1" x14ac:dyDescent="0.25">
      <c r="A6219" t="s">
        <v>672</v>
      </c>
      <c r="B6219" t="s">
        <v>77</v>
      </c>
      <c r="C6219" s="2">
        <f>HYPERLINK("https://sao.dolgi.msk.ru/account/1404119803/", 1404119803)</f>
        <v>1404119803</v>
      </c>
      <c r="D6219">
        <v>0</v>
      </c>
    </row>
    <row r="6220" spans="1:4" hidden="1" x14ac:dyDescent="0.25">
      <c r="A6220" t="s">
        <v>672</v>
      </c>
      <c r="B6220" t="s">
        <v>78</v>
      </c>
      <c r="C6220" s="2">
        <f>HYPERLINK("https://sao.dolgi.msk.ru/account/1404120097/", 1404120097)</f>
        <v>1404120097</v>
      </c>
      <c r="D6220">
        <v>-5046.72</v>
      </c>
    </row>
    <row r="6221" spans="1:4" hidden="1" x14ac:dyDescent="0.25">
      <c r="A6221" t="s">
        <v>672</v>
      </c>
      <c r="B6221" t="s">
        <v>79</v>
      </c>
      <c r="C6221" s="2">
        <f>HYPERLINK("https://sao.dolgi.msk.ru/account/1404119969/", 1404119969)</f>
        <v>1404119969</v>
      </c>
      <c r="D6221">
        <v>-2581.56</v>
      </c>
    </row>
    <row r="6222" spans="1:4" hidden="1" x14ac:dyDescent="0.25">
      <c r="A6222" t="s">
        <v>672</v>
      </c>
      <c r="B6222" t="s">
        <v>80</v>
      </c>
      <c r="C6222" s="2">
        <f>HYPERLINK("https://sao.dolgi.msk.ru/account/1404119555/", 1404119555)</f>
        <v>1404119555</v>
      </c>
      <c r="D6222">
        <v>-1461.29</v>
      </c>
    </row>
    <row r="6223" spans="1:4" hidden="1" x14ac:dyDescent="0.25">
      <c r="A6223" t="s">
        <v>672</v>
      </c>
      <c r="B6223" t="s">
        <v>81</v>
      </c>
      <c r="C6223" s="2">
        <f>HYPERLINK("https://sao.dolgi.msk.ru/account/1404119977/", 1404119977)</f>
        <v>1404119977</v>
      </c>
      <c r="D6223">
        <v>-4485.18</v>
      </c>
    </row>
    <row r="6224" spans="1:4" x14ac:dyDescent="0.25">
      <c r="A6224" t="s">
        <v>672</v>
      </c>
      <c r="B6224" t="s">
        <v>82</v>
      </c>
      <c r="C6224" s="2">
        <f>HYPERLINK("https://sao.dolgi.msk.ru/account/1404119715/", 1404119715)</f>
        <v>1404119715</v>
      </c>
      <c r="D6224">
        <v>5043.93</v>
      </c>
    </row>
    <row r="6225" spans="1:4" hidden="1" x14ac:dyDescent="0.25">
      <c r="A6225" t="s">
        <v>672</v>
      </c>
      <c r="B6225" t="s">
        <v>83</v>
      </c>
      <c r="C6225" s="2">
        <f>HYPERLINK("https://sao.dolgi.msk.ru/account/1404120118/", 1404120118)</f>
        <v>1404120118</v>
      </c>
      <c r="D6225">
        <v>-2320.5500000000002</v>
      </c>
    </row>
    <row r="6226" spans="1:4" hidden="1" x14ac:dyDescent="0.25">
      <c r="A6226" t="s">
        <v>672</v>
      </c>
      <c r="B6226" t="s">
        <v>84</v>
      </c>
      <c r="C6226" s="2">
        <f>HYPERLINK("https://sao.dolgi.msk.ru/account/1404120126/", 1404120126)</f>
        <v>1404120126</v>
      </c>
      <c r="D6226">
        <v>0</v>
      </c>
    </row>
    <row r="6227" spans="1:4" hidden="1" x14ac:dyDescent="0.25">
      <c r="A6227" t="s">
        <v>673</v>
      </c>
      <c r="B6227" t="s">
        <v>5</v>
      </c>
      <c r="C6227" s="2">
        <f>HYPERLINK("https://sao.dolgi.msk.ru/account/1404121065/", 1404121065)</f>
        <v>1404121065</v>
      </c>
      <c r="D6227">
        <v>0</v>
      </c>
    </row>
    <row r="6228" spans="1:4" hidden="1" x14ac:dyDescent="0.25">
      <c r="A6228" t="s">
        <v>673</v>
      </c>
      <c r="B6228" t="s">
        <v>6</v>
      </c>
      <c r="C6228" s="2">
        <f>HYPERLINK("https://sao.dolgi.msk.ru/account/1404120644/", 1404120644)</f>
        <v>1404120644</v>
      </c>
      <c r="D6228">
        <v>-3685.69</v>
      </c>
    </row>
    <row r="6229" spans="1:4" hidden="1" x14ac:dyDescent="0.25">
      <c r="A6229" t="s">
        <v>673</v>
      </c>
      <c r="B6229" t="s">
        <v>7</v>
      </c>
      <c r="C6229" s="2">
        <f>HYPERLINK("https://sao.dolgi.msk.ru/account/1404120679/", 1404120679)</f>
        <v>1404120679</v>
      </c>
      <c r="D6229">
        <v>-5444.43</v>
      </c>
    </row>
    <row r="6230" spans="1:4" hidden="1" x14ac:dyDescent="0.25">
      <c r="A6230" t="s">
        <v>673</v>
      </c>
      <c r="B6230" t="s">
        <v>8</v>
      </c>
      <c r="C6230" s="2">
        <f>HYPERLINK("https://sao.dolgi.msk.ru/account/1404121217/", 1404121217)</f>
        <v>1404121217</v>
      </c>
      <c r="D6230">
        <v>-5106.59</v>
      </c>
    </row>
    <row r="6231" spans="1:4" hidden="1" x14ac:dyDescent="0.25">
      <c r="A6231" t="s">
        <v>673</v>
      </c>
      <c r="B6231" t="s">
        <v>9</v>
      </c>
      <c r="C6231" s="2">
        <f>HYPERLINK("https://sao.dolgi.msk.ru/account/1404120716/", 1404120716)</f>
        <v>1404120716</v>
      </c>
      <c r="D6231">
        <v>0</v>
      </c>
    </row>
    <row r="6232" spans="1:4" hidden="1" x14ac:dyDescent="0.25">
      <c r="A6232" t="s">
        <v>673</v>
      </c>
      <c r="B6232" t="s">
        <v>10</v>
      </c>
      <c r="C6232" s="2">
        <f>HYPERLINK("https://sao.dolgi.msk.ru/account/1404120599/", 1404120599)</f>
        <v>1404120599</v>
      </c>
      <c r="D6232">
        <v>-865.7</v>
      </c>
    </row>
    <row r="6233" spans="1:4" x14ac:dyDescent="0.25">
      <c r="A6233" t="s">
        <v>673</v>
      </c>
      <c r="B6233" t="s">
        <v>11</v>
      </c>
      <c r="C6233" s="2">
        <f>HYPERLINK("https://sao.dolgi.msk.ru/account/1404120505/", 1404120505)</f>
        <v>1404120505</v>
      </c>
      <c r="D6233">
        <v>624.23</v>
      </c>
    </row>
    <row r="6234" spans="1:4" hidden="1" x14ac:dyDescent="0.25">
      <c r="A6234" t="s">
        <v>673</v>
      </c>
      <c r="B6234" t="s">
        <v>12</v>
      </c>
      <c r="C6234" s="2">
        <f>HYPERLINK("https://sao.dolgi.msk.ru/account/1404121241/", 1404121241)</f>
        <v>1404121241</v>
      </c>
      <c r="D6234">
        <v>-2893.85</v>
      </c>
    </row>
    <row r="6235" spans="1:4" hidden="1" x14ac:dyDescent="0.25">
      <c r="A6235" t="s">
        <v>673</v>
      </c>
      <c r="B6235" t="s">
        <v>13</v>
      </c>
      <c r="C6235" s="2">
        <f>HYPERLINK("https://sao.dolgi.msk.ru/account/1404120871/", 1404120871)</f>
        <v>1404120871</v>
      </c>
      <c r="D6235">
        <v>-1470.5</v>
      </c>
    </row>
    <row r="6236" spans="1:4" hidden="1" x14ac:dyDescent="0.25">
      <c r="A6236" t="s">
        <v>673</v>
      </c>
      <c r="B6236" t="s">
        <v>14</v>
      </c>
      <c r="C6236" s="2">
        <f>HYPERLINK("https://sao.dolgi.msk.ru/account/1404121188/", 1404121188)</f>
        <v>1404121188</v>
      </c>
      <c r="D6236">
        <v>-3107.14</v>
      </c>
    </row>
    <row r="6237" spans="1:4" x14ac:dyDescent="0.25">
      <c r="A6237" t="s">
        <v>673</v>
      </c>
      <c r="B6237" t="s">
        <v>15</v>
      </c>
      <c r="C6237" s="2">
        <f>HYPERLINK("https://sao.dolgi.msk.ru/account/1404120775/", 1404120775)</f>
        <v>1404120775</v>
      </c>
      <c r="D6237">
        <v>1318.25</v>
      </c>
    </row>
    <row r="6238" spans="1:4" hidden="1" x14ac:dyDescent="0.25">
      <c r="A6238" t="s">
        <v>673</v>
      </c>
      <c r="B6238" t="s">
        <v>16</v>
      </c>
      <c r="C6238" s="2">
        <f>HYPERLINK("https://sao.dolgi.msk.ru/account/1404120898/", 1404120898)</f>
        <v>1404120898</v>
      </c>
      <c r="D6238">
        <v>0</v>
      </c>
    </row>
    <row r="6239" spans="1:4" hidden="1" x14ac:dyDescent="0.25">
      <c r="A6239" t="s">
        <v>673</v>
      </c>
      <c r="B6239" t="s">
        <v>17</v>
      </c>
      <c r="C6239" s="2">
        <f>HYPERLINK("https://sao.dolgi.msk.ru/account/1404121196/", 1404121196)</f>
        <v>1404121196</v>
      </c>
      <c r="D6239">
        <v>0</v>
      </c>
    </row>
    <row r="6240" spans="1:4" hidden="1" x14ac:dyDescent="0.25">
      <c r="A6240" t="s">
        <v>673</v>
      </c>
      <c r="B6240" t="s">
        <v>18</v>
      </c>
      <c r="C6240" s="2">
        <f>HYPERLINK("https://sao.dolgi.msk.ru/account/1404120396/", 1404120396)</f>
        <v>1404120396</v>
      </c>
      <c r="D6240">
        <v>-4739.59</v>
      </c>
    </row>
    <row r="6241" spans="1:4" hidden="1" x14ac:dyDescent="0.25">
      <c r="A6241" t="s">
        <v>673</v>
      </c>
      <c r="B6241" t="s">
        <v>19</v>
      </c>
      <c r="C6241" s="2">
        <f>HYPERLINK("https://sao.dolgi.msk.ru/account/1404121276/", 1404121276)</f>
        <v>1404121276</v>
      </c>
      <c r="D6241">
        <v>-8413.07</v>
      </c>
    </row>
    <row r="6242" spans="1:4" hidden="1" x14ac:dyDescent="0.25">
      <c r="A6242" t="s">
        <v>673</v>
      </c>
      <c r="B6242" t="s">
        <v>20</v>
      </c>
      <c r="C6242" s="2">
        <f>HYPERLINK("https://sao.dolgi.msk.ru/account/1404121284/", 1404121284)</f>
        <v>1404121284</v>
      </c>
      <c r="D6242">
        <v>-6505.91</v>
      </c>
    </row>
    <row r="6243" spans="1:4" hidden="1" x14ac:dyDescent="0.25">
      <c r="A6243" t="s">
        <v>673</v>
      </c>
      <c r="B6243" t="s">
        <v>21</v>
      </c>
      <c r="C6243" s="2">
        <f>HYPERLINK("https://sao.dolgi.msk.ru/account/1404121073/", 1404121073)</f>
        <v>1404121073</v>
      </c>
      <c r="D6243">
        <v>-3135.93</v>
      </c>
    </row>
    <row r="6244" spans="1:4" hidden="1" x14ac:dyDescent="0.25">
      <c r="A6244" t="s">
        <v>673</v>
      </c>
      <c r="B6244" t="s">
        <v>22</v>
      </c>
      <c r="C6244" s="2">
        <f>HYPERLINK("https://sao.dolgi.msk.ru/account/1404120409/", 1404120409)</f>
        <v>1404120409</v>
      </c>
      <c r="D6244">
        <v>-457.02</v>
      </c>
    </row>
    <row r="6245" spans="1:4" x14ac:dyDescent="0.25">
      <c r="A6245" t="s">
        <v>673</v>
      </c>
      <c r="B6245" t="s">
        <v>23</v>
      </c>
      <c r="C6245" s="2">
        <f>HYPERLINK("https://sao.dolgi.msk.ru/account/1404120636/", 1404120636)</f>
        <v>1404120636</v>
      </c>
      <c r="D6245">
        <v>24897.1</v>
      </c>
    </row>
    <row r="6246" spans="1:4" hidden="1" x14ac:dyDescent="0.25">
      <c r="A6246" t="s">
        <v>673</v>
      </c>
      <c r="B6246" t="s">
        <v>24</v>
      </c>
      <c r="C6246" s="2">
        <f>HYPERLINK("https://sao.dolgi.msk.ru/account/1404120919/", 1404120919)</f>
        <v>1404120919</v>
      </c>
      <c r="D6246">
        <v>0</v>
      </c>
    </row>
    <row r="6247" spans="1:4" hidden="1" x14ac:dyDescent="0.25">
      <c r="A6247" t="s">
        <v>673</v>
      </c>
      <c r="B6247" t="s">
        <v>25</v>
      </c>
      <c r="C6247" s="2">
        <f>HYPERLINK("https://sao.dolgi.msk.ru/account/1404120652/", 1404120652)</f>
        <v>1404120652</v>
      </c>
      <c r="D6247">
        <v>0</v>
      </c>
    </row>
    <row r="6248" spans="1:4" x14ac:dyDescent="0.25">
      <c r="A6248" t="s">
        <v>673</v>
      </c>
      <c r="B6248" t="s">
        <v>26</v>
      </c>
      <c r="C6248" s="2">
        <f>HYPERLINK("https://sao.dolgi.msk.ru/account/1404120521/", 1404120521)</f>
        <v>1404120521</v>
      </c>
      <c r="D6248">
        <v>64568</v>
      </c>
    </row>
    <row r="6249" spans="1:4" x14ac:dyDescent="0.25">
      <c r="A6249" t="s">
        <v>673</v>
      </c>
      <c r="B6249" t="s">
        <v>27</v>
      </c>
      <c r="C6249" s="2">
        <f>HYPERLINK("https://sao.dolgi.msk.ru/account/1404120927/", 1404120927)</f>
        <v>1404120927</v>
      </c>
      <c r="D6249">
        <v>22924.61</v>
      </c>
    </row>
    <row r="6250" spans="1:4" hidden="1" x14ac:dyDescent="0.25">
      <c r="A6250" t="s">
        <v>673</v>
      </c>
      <c r="B6250" t="s">
        <v>28</v>
      </c>
      <c r="C6250" s="2">
        <f>HYPERLINK("https://sao.dolgi.msk.ru/account/1404121292/", 1404121292)</f>
        <v>1404121292</v>
      </c>
      <c r="D6250">
        <v>-3006.45</v>
      </c>
    </row>
    <row r="6251" spans="1:4" hidden="1" x14ac:dyDescent="0.25">
      <c r="A6251" t="s">
        <v>673</v>
      </c>
      <c r="B6251" t="s">
        <v>29</v>
      </c>
      <c r="C6251" s="2">
        <f>HYPERLINK("https://sao.dolgi.msk.ru/account/1404121305/", 1404121305)</f>
        <v>1404121305</v>
      </c>
      <c r="D6251">
        <v>0</v>
      </c>
    </row>
    <row r="6252" spans="1:4" hidden="1" x14ac:dyDescent="0.25">
      <c r="A6252" t="s">
        <v>673</v>
      </c>
      <c r="B6252" t="s">
        <v>30</v>
      </c>
      <c r="C6252" s="2">
        <f>HYPERLINK("https://sao.dolgi.msk.ru/account/1404120548/", 1404120548)</f>
        <v>1404120548</v>
      </c>
      <c r="D6252">
        <v>0</v>
      </c>
    </row>
    <row r="6253" spans="1:4" hidden="1" x14ac:dyDescent="0.25">
      <c r="A6253" t="s">
        <v>673</v>
      </c>
      <c r="B6253" t="s">
        <v>31</v>
      </c>
      <c r="C6253" s="2">
        <f>HYPERLINK("https://sao.dolgi.msk.ru/account/1404120556/", 1404120556)</f>
        <v>1404120556</v>
      </c>
      <c r="D6253">
        <v>-7600.1</v>
      </c>
    </row>
    <row r="6254" spans="1:4" hidden="1" x14ac:dyDescent="0.25">
      <c r="A6254" t="s">
        <v>673</v>
      </c>
      <c r="B6254" t="s">
        <v>32</v>
      </c>
      <c r="C6254" s="2">
        <f>HYPERLINK("https://sao.dolgi.msk.ru/account/1404121209/", 1404121209)</f>
        <v>1404121209</v>
      </c>
      <c r="D6254">
        <v>0</v>
      </c>
    </row>
    <row r="6255" spans="1:4" x14ac:dyDescent="0.25">
      <c r="A6255" t="s">
        <v>673</v>
      </c>
      <c r="B6255" t="s">
        <v>33</v>
      </c>
      <c r="C6255" s="2">
        <f>HYPERLINK("https://sao.dolgi.msk.ru/account/1404120417/", 1404120417)</f>
        <v>1404120417</v>
      </c>
      <c r="D6255">
        <v>13776.17</v>
      </c>
    </row>
    <row r="6256" spans="1:4" hidden="1" x14ac:dyDescent="0.25">
      <c r="A6256" t="s">
        <v>673</v>
      </c>
      <c r="B6256" t="s">
        <v>34</v>
      </c>
      <c r="C6256" s="2">
        <f>HYPERLINK("https://sao.dolgi.msk.ru/account/1404120687/", 1404120687)</f>
        <v>1404120687</v>
      </c>
      <c r="D6256">
        <v>0</v>
      </c>
    </row>
    <row r="6257" spans="1:4" hidden="1" x14ac:dyDescent="0.25">
      <c r="A6257" t="s">
        <v>673</v>
      </c>
      <c r="B6257" t="s">
        <v>35</v>
      </c>
      <c r="C6257" s="2">
        <f>HYPERLINK("https://sao.dolgi.msk.ru/account/1404120695/", 1404120695)</f>
        <v>1404120695</v>
      </c>
      <c r="D6257">
        <v>-4571.3900000000003</v>
      </c>
    </row>
    <row r="6258" spans="1:4" hidden="1" x14ac:dyDescent="0.25">
      <c r="A6258" t="s">
        <v>673</v>
      </c>
      <c r="B6258" t="s">
        <v>36</v>
      </c>
      <c r="C6258" s="2">
        <f>HYPERLINK("https://sao.dolgi.msk.ru/account/1404120935/", 1404120935)</f>
        <v>1404120935</v>
      </c>
      <c r="D6258">
        <v>-6789.46</v>
      </c>
    </row>
    <row r="6259" spans="1:4" hidden="1" x14ac:dyDescent="0.25">
      <c r="A6259" t="s">
        <v>673</v>
      </c>
      <c r="B6259" t="s">
        <v>37</v>
      </c>
      <c r="C6259" s="2">
        <f>HYPERLINK("https://sao.dolgi.msk.ru/account/1404120943/", 1404120943)</f>
        <v>1404120943</v>
      </c>
      <c r="D6259">
        <v>-907.38</v>
      </c>
    </row>
    <row r="6260" spans="1:4" hidden="1" x14ac:dyDescent="0.25">
      <c r="A6260" t="s">
        <v>673</v>
      </c>
      <c r="B6260" t="s">
        <v>38</v>
      </c>
      <c r="C6260" s="2">
        <f>HYPERLINK("https://sao.dolgi.msk.ru/account/1404120564/", 1404120564)</f>
        <v>1404120564</v>
      </c>
      <c r="D6260">
        <v>-49.67</v>
      </c>
    </row>
    <row r="6261" spans="1:4" hidden="1" x14ac:dyDescent="0.25">
      <c r="A6261" t="s">
        <v>673</v>
      </c>
      <c r="B6261" t="s">
        <v>39</v>
      </c>
      <c r="C6261" s="2">
        <f>HYPERLINK("https://sao.dolgi.msk.ru/account/1404120951/", 1404120951)</f>
        <v>1404120951</v>
      </c>
      <c r="D6261">
        <v>-3944.62</v>
      </c>
    </row>
    <row r="6262" spans="1:4" hidden="1" x14ac:dyDescent="0.25">
      <c r="A6262" t="s">
        <v>673</v>
      </c>
      <c r="B6262" t="s">
        <v>40</v>
      </c>
      <c r="C6262" s="2">
        <f>HYPERLINK("https://sao.dolgi.msk.ru/account/1404120708/", 1404120708)</f>
        <v>1404120708</v>
      </c>
      <c r="D6262">
        <v>-2406.85</v>
      </c>
    </row>
    <row r="6263" spans="1:4" hidden="1" x14ac:dyDescent="0.25">
      <c r="A6263" t="s">
        <v>673</v>
      </c>
      <c r="B6263" t="s">
        <v>41</v>
      </c>
      <c r="C6263" s="2">
        <f>HYPERLINK("https://sao.dolgi.msk.ru/account/1404120978/", 1404120978)</f>
        <v>1404120978</v>
      </c>
      <c r="D6263">
        <v>-6893.41</v>
      </c>
    </row>
    <row r="6264" spans="1:4" hidden="1" x14ac:dyDescent="0.25">
      <c r="A6264" t="s">
        <v>673</v>
      </c>
      <c r="B6264" t="s">
        <v>42</v>
      </c>
      <c r="C6264" s="2">
        <f>HYPERLINK("https://sao.dolgi.msk.ru/account/1404120425/", 1404120425)</f>
        <v>1404120425</v>
      </c>
      <c r="D6264">
        <v>-969.41</v>
      </c>
    </row>
    <row r="6265" spans="1:4" x14ac:dyDescent="0.25">
      <c r="A6265" t="s">
        <v>673</v>
      </c>
      <c r="B6265" t="s">
        <v>43</v>
      </c>
      <c r="C6265" s="2">
        <f>HYPERLINK("https://sao.dolgi.msk.ru/account/1404120986/", 1404120986)</f>
        <v>1404120986</v>
      </c>
      <c r="D6265">
        <v>21893.42</v>
      </c>
    </row>
    <row r="6266" spans="1:4" hidden="1" x14ac:dyDescent="0.25">
      <c r="A6266" t="s">
        <v>673</v>
      </c>
      <c r="B6266" t="s">
        <v>44</v>
      </c>
      <c r="C6266" s="2">
        <f>HYPERLINK("https://sao.dolgi.msk.ru/account/1404120433/", 1404120433)</f>
        <v>1404120433</v>
      </c>
      <c r="D6266">
        <v>0</v>
      </c>
    </row>
    <row r="6267" spans="1:4" hidden="1" x14ac:dyDescent="0.25">
      <c r="A6267" t="s">
        <v>673</v>
      </c>
      <c r="B6267" t="s">
        <v>45</v>
      </c>
      <c r="C6267" s="2">
        <f>HYPERLINK("https://sao.dolgi.msk.ru/account/1404120783/", 1404120783)</f>
        <v>1404120783</v>
      </c>
      <c r="D6267">
        <v>-4659.1400000000003</v>
      </c>
    </row>
    <row r="6268" spans="1:4" hidden="1" x14ac:dyDescent="0.25">
      <c r="A6268" t="s">
        <v>673</v>
      </c>
      <c r="B6268" t="s">
        <v>46</v>
      </c>
      <c r="C6268" s="2">
        <f>HYPERLINK("https://sao.dolgi.msk.ru/account/1404120572/", 1404120572)</f>
        <v>1404120572</v>
      </c>
      <c r="D6268">
        <v>0</v>
      </c>
    </row>
    <row r="6269" spans="1:4" hidden="1" x14ac:dyDescent="0.25">
      <c r="A6269" t="s">
        <v>673</v>
      </c>
      <c r="B6269" t="s">
        <v>47</v>
      </c>
      <c r="C6269" s="2">
        <f>HYPERLINK("https://sao.dolgi.msk.ru/account/1404120441/", 1404120441)</f>
        <v>1404120441</v>
      </c>
      <c r="D6269">
        <v>0</v>
      </c>
    </row>
    <row r="6270" spans="1:4" hidden="1" x14ac:dyDescent="0.25">
      <c r="A6270" t="s">
        <v>673</v>
      </c>
      <c r="B6270" t="s">
        <v>48</v>
      </c>
      <c r="C6270" s="2">
        <f>HYPERLINK("https://sao.dolgi.msk.ru/account/1404121313/", 1404121313)</f>
        <v>1404121313</v>
      </c>
      <c r="D6270">
        <v>-2921.53</v>
      </c>
    </row>
    <row r="6271" spans="1:4" x14ac:dyDescent="0.25">
      <c r="A6271" t="s">
        <v>673</v>
      </c>
      <c r="B6271" t="s">
        <v>49</v>
      </c>
      <c r="C6271" s="2">
        <f>HYPERLINK("https://sao.dolgi.msk.ru/account/1404120791/", 1404120791)</f>
        <v>1404120791</v>
      </c>
      <c r="D6271">
        <v>3817.67</v>
      </c>
    </row>
    <row r="6272" spans="1:4" hidden="1" x14ac:dyDescent="0.25">
      <c r="A6272" t="s">
        <v>673</v>
      </c>
      <c r="B6272" t="s">
        <v>50</v>
      </c>
      <c r="C6272" s="2">
        <f>HYPERLINK("https://sao.dolgi.msk.ru/account/1404120994/", 1404120994)</f>
        <v>1404120994</v>
      </c>
      <c r="D6272">
        <v>-4070.64</v>
      </c>
    </row>
    <row r="6273" spans="1:4" x14ac:dyDescent="0.25">
      <c r="A6273" t="s">
        <v>673</v>
      </c>
      <c r="B6273" t="s">
        <v>51</v>
      </c>
      <c r="C6273" s="2">
        <f>HYPERLINK("https://sao.dolgi.msk.ru/account/1404121081/", 1404121081)</f>
        <v>1404121081</v>
      </c>
      <c r="D6273">
        <v>8.82</v>
      </c>
    </row>
    <row r="6274" spans="1:4" hidden="1" x14ac:dyDescent="0.25">
      <c r="A6274" t="s">
        <v>673</v>
      </c>
      <c r="B6274" t="s">
        <v>52</v>
      </c>
      <c r="C6274" s="2">
        <f>HYPERLINK("https://sao.dolgi.msk.ru/account/1404121102/", 1404121102)</f>
        <v>1404121102</v>
      </c>
      <c r="D6274">
        <v>-2401.2600000000002</v>
      </c>
    </row>
    <row r="6275" spans="1:4" hidden="1" x14ac:dyDescent="0.25">
      <c r="A6275" t="s">
        <v>673</v>
      </c>
      <c r="B6275" t="s">
        <v>53</v>
      </c>
      <c r="C6275" s="2">
        <f>HYPERLINK("https://sao.dolgi.msk.ru/account/1404121225/", 1404121225)</f>
        <v>1404121225</v>
      </c>
      <c r="D6275">
        <v>0</v>
      </c>
    </row>
    <row r="6276" spans="1:4" x14ac:dyDescent="0.25">
      <c r="A6276" t="s">
        <v>673</v>
      </c>
      <c r="B6276" t="s">
        <v>54</v>
      </c>
      <c r="C6276" s="2">
        <f>HYPERLINK("https://sao.dolgi.msk.ru/account/1404120724/", 1404120724)</f>
        <v>1404120724</v>
      </c>
      <c r="D6276">
        <v>2523.9</v>
      </c>
    </row>
    <row r="6277" spans="1:4" x14ac:dyDescent="0.25">
      <c r="A6277" t="s">
        <v>673</v>
      </c>
      <c r="B6277" t="s">
        <v>55</v>
      </c>
      <c r="C6277" s="2">
        <f>HYPERLINK("https://sao.dolgi.msk.ru/account/1404121129/", 1404121129)</f>
        <v>1404121129</v>
      </c>
      <c r="D6277">
        <v>53.12</v>
      </c>
    </row>
    <row r="6278" spans="1:4" x14ac:dyDescent="0.25">
      <c r="A6278" t="s">
        <v>673</v>
      </c>
      <c r="B6278" t="s">
        <v>56</v>
      </c>
      <c r="C6278" s="2">
        <f>HYPERLINK("https://sao.dolgi.msk.ru/account/1404121137/", 1404121137)</f>
        <v>1404121137</v>
      </c>
      <c r="D6278">
        <v>5814.78</v>
      </c>
    </row>
    <row r="6279" spans="1:4" hidden="1" x14ac:dyDescent="0.25">
      <c r="A6279" t="s">
        <v>673</v>
      </c>
      <c r="B6279" t="s">
        <v>57</v>
      </c>
      <c r="C6279" s="2">
        <f>HYPERLINK("https://sao.dolgi.msk.ru/account/1404120468/", 1404120468)</f>
        <v>1404120468</v>
      </c>
      <c r="D6279">
        <v>0</v>
      </c>
    </row>
    <row r="6280" spans="1:4" hidden="1" x14ac:dyDescent="0.25">
      <c r="A6280" t="s">
        <v>673</v>
      </c>
      <c r="B6280" t="s">
        <v>58</v>
      </c>
      <c r="C6280" s="2">
        <f>HYPERLINK("https://sao.dolgi.msk.ru/account/1404120476/", 1404120476)</f>
        <v>1404120476</v>
      </c>
      <c r="D6280">
        <v>-4716.8900000000003</v>
      </c>
    </row>
    <row r="6281" spans="1:4" hidden="1" x14ac:dyDescent="0.25">
      <c r="A6281" t="s">
        <v>673</v>
      </c>
      <c r="B6281" t="s">
        <v>59</v>
      </c>
      <c r="C6281" s="2">
        <f>HYPERLINK("https://sao.dolgi.msk.ru/account/1404120804/", 1404120804)</f>
        <v>1404120804</v>
      </c>
      <c r="D6281">
        <v>-8421.65</v>
      </c>
    </row>
    <row r="6282" spans="1:4" x14ac:dyDescent="0.25">
      <c r="A6282" t="s">
        <v>673</v>
      </c>
      <c r="B6282" t="s">
        <v>60</v>
      </c>
      <c r="C6282" s="2">
        <f>HYPERLINK("https://sao.dolgi.msk.ru/account/1404121145/", 1404121145)</f>
        <v>1404121145</v>
      </c>
      <c r="D6282">
        <v>3950.41</v>
      </c>
    </row>
    <row r="6283" spans="1:4" hidden="1" x14ac:dyDescent="0.25">
      <c r="A6283" t="s">
        <v>673</v>
      </c>
      <c r="B6283" t="s">
        <v>61</v>
      </c>
      <c r="C6283" s="2">
        <f>HYPERLINK("https://sao.dolgi.msk.ru/account/1404120812/", 1404120812)</f>
        <v>1404120812</v>
      </c>
      <c r="D6283">
        <v>-4927.08</v>
      </c>
    </row>
    <row r="6284" spans="1:4" hidden="1" x14ac:dyDescent="0.25">
      <c r="A6284" t="s">
        <v>673</v>
      </c>
      <c r="B6284" t="s">
        <v>62</v>
      </c>
      <c r="C6284" s="2">
        <f>HYPERLINK("https://sao.dolgi.msk.ru/account/1404120839/", 1404120839)</f>
        <v>1404120839</v>
      </c>
      <c r="D6284">
        <v>-3233.04</v>
      </c>
    </row>
    <row r="6285" spans="1:4" hidden="1" x14ac:dyDescent="0.25">
      <c r="A6285" t="s">
        <v>673</v>
      </c>
      <c r="B6285" t="s">
        <v>63</v>
      </c>
      <c r="C6285" s="2">
        <f>HYPERLINK("https://sao.dolgi.msk.ru/account/1404121233/", 1404121233)</f>
        <v>1404121233</v>
      </c>
      <c r="D6285">
        <v>0</v>
      </c>
    </row>
    <row r="6286" spans="1:4" hidden="1" x14ac:dyDescent="0.25">
      <c r="A6286" t="s">
        <v>673</v>
      </c>
      <c r="B6286" t="s">
        <v>64</v>
      </c>
      <c r="C6286" s="2">
        <f>HYPERLINK("https://sao.dolgi.msk.ru/account/1404121006/", 1404121006)</f>
        <v>1404121006</v>
      </c>
      <c r="D6286">
        <v>-4610.1400000000003</v>
      </c>
    </row>
    <row r="6287" spans="1:4" hidden="1" x14ac:dyDescent="0.25">
      <c r="A6287" t="s">
        <v>673</v>
      </c>
      <c r="B6287" t="s">
        <v>65</v>
      </c>
      <c r="C6287" s="2">
        <f>HYPERLINK("https://sao.dolgi.msk.ru/account/1404120847/", 1404120847)</f>
        <v>1404120847</v>
      </c>
      <c r="D6287">
        <v>0</v>
      </c>
    </row>
    <row r="6288" spans="1:4" x14ac:dyDescent="0.25">
      <c r="A6288" t="s">
        <v>673</v>
      </c>
      <c r="B6288" t="s">
        <v>66</v>
      </c>
      <c r="C6288" s="2">
        <f>HYPERLINK("https://sao.dolgi.msk.ru/account/1404120855/", 1404120855)</f>
        <v>1404120855</v>
      </c>
      <c r="D6288">
        <v>666.54</v>
      </c>
    </row>
    <row r="6289" spans="1:4" x14ac:dyDescent="0.25">
      <c r="A6289" t="s">
        <v>673</v>
      </c>
      <c r="B6289" t="s">
        <v>67</v>
      </c>
      <c r="C6289" s="2">
        <f>HYPERLINK("https://sao.dolgi.msk.ru/account/1404120863/", 1404120863)</f>
        <v>1404120863</v>
      </c>
      <c r="D6289">
        <v>542.29999999999995</v>
      </c>
    </row>
    <row r="6290" spans="1:4" hidden="1" x14ac:dyDescent="0.25">
      <c r="A6290" t="s">
        <v>673</v>
      </c>
      <c r="B6290" t="s">
        <v>68</v>
      </c>
      <c r="C6290" s="2">
        <f>HYPERLINK("https://sao.dolgi.msk.ru/account/1404120732/", 1404120732)</f>
        <v>1404120732</v>
      </c>
      <c r="D6290">
        <v>-4624.95</v>
      </c>
    </row>
    <row r="6291" spans="1:4" hidden="1" x14ac:dyDescent="0.25">
      <c r="A6291" t="s">
        <v>673</v>
      </c>
      <c r="B6291" t="s">
        <v>69</v>
      </c>
      <c r="C6291" s="2">
        <f>HYPERLINK("https://sao.dolgi.msk.ru/account/1404120484/", 1404120484)</f>
        <v>1404120484</v>
      </c>
      <c r="D6291">
        <v>-4523.88</v>
      </c>
    </row>
    <row r="6292" spans="1:4" hidden="1" x14ac:dyDescent="0.25">
      <c r="A6292" t="s">
        <v>673</v>
      </c>
      <c r="B6292" t="s">
        <v>70</v>
      </c>
      <c r="C6292" s="2">
        <f>HYPERLINK("https://sao.dolgi.msk.ru/account/1404121014/", 1404121014)</f>
        <v>1404121014</v>
      </c>
      <c r="D6292">
        <v>0</v>
      </c>
    </row>
    <row r="6293" spans="1:4" hidden="1" x14ac:dyDescent="0.25">
      <c r="A6293" t="s">
        <v>673</v>
      </c>
      <c r="B6293" t="s">
        <v>71</v>
      </c>
      <c r="C6293" s="2">
        <f>HYPERLINK("https://sao.dolgi.msk.ru/account/1404121153/", 1404121153)</f>
        <v>1404121153</v>
      </c>
      <c r="D6293">
        <v>-2685.89</v>
      </c>
    </row>
    <row r="6294" spans="1:4" hidden="1" x14ac:dyDescent="0.25">
      <c r="A6294" t="s">
        <v>673</v>
      </c>
      <c r="B6294" t="s">
        <v>72</v>
      </c>
      <c r="C6294" s="2">
        <f>HYPERLINK("https://sao.dolgi.msk.ru/account/1404121321/", 1404121321)</f>
        <v>1404121321</v>
      </c>
      <c r="D6294">
        <v>-2112.11</v>
      </c>
    </row>
    <row r="6295" spans="1:4" hidden="1" x14ac:dyDescent="0.25">
      <c r="A6295" t="s">
        <v>673</v>
      </c>
      <c r="B6295" t="s">
        <v>73</v>
      </c>
      <c r="C6295" s="2">
        <f>HYPERLINK("https://sao.dolgi.msk.ru/account/1404120492/", 1404120492)</f>
        <v>1404120492</v>
      </c>
      <c r="D6295">
        <v>-88.5</v>
      </c>
    </row>
    <row r="6296" spans="1:4" hidden="1" x14ac:dyDescent="0.25">
      <c r="A6296" t="s">
        <v>673</v>
      </c>
      <c r="B6296" t="s">
        <v>74</v>
      </c>
      <c r="C6296" s="2">
        <f>HYPERLINK("https://sao.dolgi.msk.ru/account/1404121022/", 1404121022)</f>
        <v>1404121022</v>
      </c>
      <c r="D6296">
        <v>0</v>
      </c>
    </row>
    <row r="6297" spans="1:4" hidden="1" x14ac:dyDescent="0.25">
      <c r="A6297" t="s">
        <v>673</v>
      </c>
      <c r="B6297" t="s">
        <v>75</v>
      </c>
      <c r="C6297" s="2">
        <f>HYPERLINK("https://sao.dolgi.msk.ru/account/1404120601/", 1404120601)</f>
        <v>1404120601</v>
      </c>
      <c r="D6297">
        <v>-1773.2</v>
      </c>
    </row>
    <row r="6298" spans="1:4" hidden="1" x14ac:dyDescent="0.25">
      <c r="A6298" t="s">
        <v>673</v>
      </c>
      <c r="B6298" t="s">
        <v>76</v>
      </c>
      <c r="C6298" s="2">
        <f>HYPERLINK("https://sao.dolgi.msk.ru/account/1404120513/", 1404120513)</f>
        <v>1404120513</v>
      </c>
      <c r="D6298">
        <v>-3153.58</v>
      </c>
    </row>
    <row r="6299" spans="1:4" hidden="1" x14ac:dyDescent="0.25">
      <c r="A6299" t="s">
        <v>673</v>
      </c>
      <c r="B6299" t="s">
        <v>77</v>
      </c>
      <c r="C6299" s="2">
        <f>HYPERLINK("https://sao.dolgi.msk.ru/account/1404121348/", 1404121348)</f>
        <v>1404121348</v>
      </c>
      <c r="D6299">
        <v>-3755.98</v>
      </c>
    </row>
    <row r="6300" spans="1:4" hidden="1" x14ac:dyDescent="0.25">
      <c r="A6300" t="s">
        <v>673</v>
      </c>
      <c r="B6300" t="s">
        <v>78</v>
      </c>
      <c r="C6300" s="2">
        <f>HYPERLINK("https://sao.dolgi.msk.ru/account/1404120759/", 1404120759)</f>
        <v>1404120759</v>
      </c>
      <c r="D6300">
        <v>-3836.98</v>
      </c>
    </row>
    <row r="6301" spans="1:4" hidden="1" x14ac:dyDescent="0.25">
      <c r="A6301" t="s">
        <v>673</v>
      </c>
      <c r="B6301" t="s">
        <v>79</v>
      </c>
      <c r="C6301" s="2">
        <f>HYPERLINK("https://sao.dolgi.msk.ru/account/1404120628/", 1404120628)</f>
        <v>1404120628</v>
      </c>
      <c r="D6301">
        <v>-3660.61</v>
      </c>
    </row>
    <row r="6302" spans="1:4" hidden="1" x14ac:dyDescent="0.25">
      <c r="A6302" t="s">
        <v>673</v>
      </c>
      <c r="B6302" t="s">
        <v>80</v>
      </c>
      <c r="C6302" s="2">
        <f>HYPERLINK("https://sao.dolgi.msk.ru/account/1404121161/", 1404121161)</f>
        <v>1404121161</v>
      </c>
      <c r="D6302">
        <v>-3864.48</v>
      </c>
    </row>
    <row r="6303" spans="1:4" x14ac:dyDescent="0.25">
      <c r="A6303" t="s">
        <v>673</v>
      </c>
      <c r="B6303" t="s">
        <v>81</v>
      </c>
      <c r="C6303" s="2">
        <f>HYPERLINK("https://sao.dolgi.msk.ru/account/1404120767/", 1404120767)</f>
        <v>1404120767</v>
      </c>
      <c r="D6303">
        <v>3112.5</v>
      </c>
    </row>
    <row r="6304" spans="1:4" hidden="1" x14ac:dyDescent="0.25">
      <c r="A6304" t="s">
        <v>673</v>
      </c>
      <c r="B6304" t="s">
        <v>82</v>
      </c>
      <c r="C6304" s="2">
        <f>HYPERLINK("https://sao.dolgi.msk.ru/account/1404121049/", 1404121049)</f>
        <v>1404121049</v>
      </c>
      <c r="D6304">
        <v>0</v>
      </c>
    </row>
    <row r="6305" spans="1:4" hidden="1" x14ac:dyDescent="0.25">
      <c r="A6305" t="s">
        <v>673</v>
      </c>
      <c r="B6305" t="s">
        <v>83</v>
      </c>
      <c r="C6305" s="2">
        <f>HYPERLINK("https://sao.dolgi.msk.ru/account/1404121057/", 1404121057)</f>
        <v>1404121057</v>
      </c>
      <c r="D6305">
        <v>-3444.42</v>
      </c>
    </row>
    <row r="6306" spans="1:4" hidden="1" x14ac:dyDescent="0.25">
      <c r="A6306" t="s">
        <v>673</v>
      </c>
      <c r="B6306" t="s">
        <v>84</v>
      </c>
      <c r="C6306" s="2">
        <f>HYPERLINK("https://sao.dolgi.msk.ru/account/1404121268/", 1404121268)</f>
        <v>1404121268</v>
      </c>
      <c r="D6306">
        <v>0</v>
      </c>
    </row>
    <row r="6307" spans="1:4" hidden="1" x14ac:dyDescent="0.25">
      <c r="A6307" t="s">
        <v>674</v>
      </c>
      <c r="B6307" t="s">
        <v>322</v>
      </c>
      <c r="C6307" s="2">
        <f>HYPERLINK("https://sao.dolgi.msk.ru/account/1404121903/", 1404121903)</f>
        <v>1404121903</v>
      </c>
      <c r="D6307">
        <v>-8691.4699999999993</v>
      </c>
    </row>
    <row r="6308" spans="1:4" hidden="1" x14ac:dyDescent="0.25">
      <c r="A6308" t="s">
        <v>674</v>
      </c>
      <c r="B6308" t="s">
        <v>323</v>
      </c>
      <c r="C6308" s="2">
        <f>HYPERLINK("https://sao.dolgi.msk.ru/account/1404121911/", 1404121911)</f>
        <v>1404121911</v>
      </c>
      <c r="D6308">
        <v>-1320.23</v>
      </c>
    </row>
    <row r="6309" spans="1:4" hidden="1" x14ac:dyDescent="0.25">
      <c r="A6309" t="s">
        <v>674</v>
      </c>
      <c r="B6309" t="s">
        <v>324</v>
      </c>
      <c r="C6309" s="2">
        <f>HYPERLINK("https://sao.dolgi.msk.ru/account/1404121436/", 1404121436)</f>
        <v>1404121436</v>
      </c>
      <c r="D6309">
        <v>-3549.28</v>
      </c>
    </row>
    <row r="6310" spans="1:4" x14ac:dyDescent="0.25">
      <c r="A6310" t="s">
        <v>674</v>
      </c>
      <c r="B6310" t="s">
        <v>325</v>
      </c>
      <c r="C6310" s="2">
        <f>HYPERLINK("https://sao.dolgi.msk.ru/account/1404122033/", 1404122033)</f>
        <v>1404122033</v>
      </c>
      <c r="D6310">
        <v>24278.37</v>
      </c>
    </row>
    <row r="6311" spans="1:4" x14ac:dyDescent="0.25">
      <c r="A6311" t="s">
        <v>674</v>
      </c>
      <c r="B6311" t="s">
        <v>326</v>
      </c>
      <c r="C6311" s="2">
        <f>HYPERLINK("https://sao.dolgi.msk.ru/account/1404122041/", 1404122041)</f>
        <v>1404122041</v>
      </c>
      <c r="D6311">
        <v>385.62</v>
      </c>
    </row>
    <row r="6312" spans="1:4" x14ac:dyDescent="0.25">
      <c r="A6312" t="s">
        <v>674</v>
      </c>
      <c r="B6312" t="s">
        <v>327</v>
      </c>
      <c r="C6312" s="2">
        <f>HYPERLINK("https://sao.dolgi.msk.ru/account/1404121698/", 1404121698)</f>
        <v>1404121698</v>
      </c>
      <c r="D6312">
        <v>357.46</v>
      </c>
    </row>
    <row r="6313" spans="1:4" hidden="1" x14ac:dyDescent="0.25">
      <c r="A6313" t="s">
        <v>674</v>
      </c>
      <c r="B6313" t="s">
        <v>328</v>
      </c>
      <c r="C6313" s="2">
        <f>HYPERLINK("https://sao.dolgi.msk.ru/account/1404122068/", 1404122068)</f>
        <v>1404122068</v>
      </c>
      <c r="D6313">
        <v>-3835.99</v>
      </c>
    </row>
    <row r="6314" spans="1:4" x14ac:dyDescent="0.25">
      <c r="A6314" t="s">
        <v>674</v>
      </c>
      <c r="B6314" t="s">
        <v>329</v>
      </c>
      <c r="C6314" s="2">
        <f>HYPERLINK("https://sao.dolgi.msk.ru/account/1404121356/", 1404121356)</f>
        <v>1404121356</v>
      </c>
      <c r="D6314">
        <v>3540.1</v>
      </c>
    </row>
    <row r="6315" spans="1:4" hidden="1" x14ac:dyDescent="0.25">
      <c r="A6315" t="s">
        <v>674</v>
      </c>
      <c r="B6315" t="s">
        <v>330</v>
      </c>
      <c r="C6315" s="2">
        <f>HYPERLINK("https://sao.dolgi.msk.ru/account/1404121364/", 1404121364)</f>
        <v>1404121364</v>
      </c>
      <c r="D6315">
        <v>0</v>
      </c>
    </row>
    <row r="6316" spans="1:4" hidden="1" x14ac:dyDescent="0.25">
      <c r="A6316" t="s">
        <v>674</v>
      </c>
      <c r="B6316" t="s">
        <v>331</v>
      </c>
      <c r="C6316" s="2">
        <f>HYPERLINK("https://sao.dolgi.msk.ru/account/1404121567/", 1404121567)</f>
        <v>1404121567</v>
      </c>
      <c r="D6316">
        <v>-3023.32</v>
      </c>
    </row>
    <row r="6317" spans="1:4" x14ac:dyDescent="0.25">
      <c r="A6317" t="s">
        <v>674</v>
      </c>
      <c r="B6317" t="s">
        <v>332</v>
      </c>
      <c r="C6317" s="2">
        <f>HYPERLINK("https://sao.dolgi.msk.ru/account/1404121575/", 1404121575)</f>
        <v>1404121575</v>
      </c>
      <c r="D6317">
        <v>38655.67</v>
      </c>
    </row>
    <row r="6318" spans="1:4" hidden="1" x14ac:dyDescent="0.25">
      <c r="A6318" t="s">
        <v>674</v>
      </c>
      <c r="B6318" t="s">
        <v>333</v>
      </c>
      <c r="C6318" s="2">
        <f>HYPERLINK("https://sao.dolgi.msk.ru/account/1404121444/", 1404121444)</f>
        <v>1404121444</v>
      </c>
      <c r="D6318">
        <v>-3536.17</v>
      </c>
    </row>
    <row r="6319" spans="1:4" hidden="1" x14ac:dyDescent="0.25">
      <c r="A6319" t="s">
        <v>674</v>
      </c>
      <c r="B6319" t="s">
        <v>334</v>
      </c>
      <c r="C6319" s="2">
        <f>HYPERLINK("https://sao.dolgi.msk.ru/account/1404122244/", 1404122244)</f>
        <v>1404122244</v>
      </c>
      <c r="D6319">
        <v>0</v>
      </c>
    </row>
    <row r="6320" spans="1:4" hidden="1" x14ac:dyDescent="0.25">
      <c r="A6320" t="s">
        <v>674</v>
      </c>
      <c r="B6320" t="s">
        <v>335</v>
      </c>
      <c r="C6320" s="2">
        <f>HYPERLINK("https://sao.dolgi.msk.ru/account/1404122252/", 1404122252)</f>
        <v>1404122252</v>
      </c>
      <c r="D6320">
        <v>-3312.88</v>
      </c>
    </row>
    <row r="6321" spans="1:4" hidden="1" x14ac:dyDescent="0.25">
      <c r="A6321" t="s">
        <v>674</v>
      </c>
      <c r="B6321" t="s">
        <v>336</v>
      </c>
      <c r="C6321" s="2">
        <f>HYPERLINK("https://sao.dolgi.msk.ru/account/1404121452/", 1404121452)</f>
        <v>1404121452</v>
      </c>
      <c r="D6321">
        <v>-5743.24</v>
      </c>
    </row>
    <row r="6322" spans="1:4" hidden="1" x14ac:dyDescent="0.25">
      <c r="A6322" t="s">
        <v>674</v>
      </c>
      <c r="B6322" t="s">
        <v>337</v>
      </c>
      <c r="C6322" s="2">
        <f>HYPERLINK("https://sao.dolgi.msk.ru/account/1404121938/", 1404121938)</f>
        <v>1404121938</v>
      </c>
      <c r="D6322">
        <v>-2908.92</v>
      </c>
    </row>
    <row r="6323" spans="1:4" x14ac:dyDescent="0.25">
      <c r="A6323" t="s">
        <v>674</v>
      </c>
      <c r="B6323" t="s">
        <v>338</v>
      </c>
      <c r="C6323" s="2">
        <f>HYPERLINK("https://sao.dolgi.msk.ru/account/1404121946/", 1404121946)</f>
        <v>1404121946</v>
      </c>
      <c r="D6323">
        <v>1800.54</v>
      </c>
    </row>
    <row r="6324" spans="1:4" hidden="1" x14ac:dyDescent="0.25">
      <c r="A6324" t="s">
        <v>674</v>
      </c>
      <c r="B6324" t="s">
        <v>339</v>
      </c>
      <c r="C6324" s="2">
        <f>HYPERLINK("https://sao.dolgi.msk.ru/account/1404121794/", 1404121794)</f>
        <v>1404121794</v>
      </c>
      <c r="D6324">
        <v>-2271.9499999999998</v>
      </c>
    </row>
    <row r="6325" spans="1:4" hidden="1" x14ac:dyDescent="0.25">
      <c r="A6325" t="s">
        <v>674</v>
      </c>
      <c r="B6325" t="s">
        <v>340</v>
      </c>
      <c r="C6325" s="2">
        <f>HYPERLINK("https://sao.dolgi.msk.ru/account/1404121954/", 1404121954)</f>
        <v>1404121954</v>
      </c>
      <c r="D6325">
        <v>-4525.72</v>
      </c>
    </row>
    <row r="6326" spans="1:4" hidden="1" x14ac:dyDescent="0.25">
      <c r="A6326" t="s">
        <v>674</v>
      </c>
      <c r="B6326" t="s">
        <v>341</v>
      </c>
      <c r="C6326" s="2">
        <f>HYPERLINK("https://sao.dolgi.msk.ru/account/1404121719/", 1404121719)</f>
        <v>1404121719</v>
      </c>
      <c r="D6326">
        <v>0</v>
      </c>
    </row>
    <row r="6327" spans="1:4" hidden="1" x14ac:dyDescent="0.25">
      <c r="A6327" t="s">
        <v>674</v>
      </c>
      <c r="B6327" t="s">
        <v>342</v>
      </c>
      <c r="C6327" s="2">
        <f>HYPERLINK("https://sao.dolgi.msk.ru/account/1404121372/", 1404121372)</f>
        <v>1404121372</v>
      </c>
      <c r="D6327">
        <v>-2872.29</v>
      </c>
    </row>
    <row r="6328" spans="1:4" hidden="1" x14ac:dyDescent="0.25">
      <c r="A6328" t="s">
        <v>674</v>
      </c>
      <c r="B6328" t="s">
        <v>343</v>
      </c>
      <c r="C6328" s="2">
        <f>HYPERLINK("https://sao.dolgi.msk.ru/account/1404122076/", 1404122076)</f>
        <v>1404122076</v>
      </c>
      <c r="D6328">
        <v>-185.3</v>
      </c>
    </row>
    <row r="6329" spans="1:4" hidden="1" x14ac:dyDescent="0.25">
      <c r="A6329" t="s">
        <v>674</v>
      </c>
      <c r="B6329" t="s">
        <v>344</v>
      </c>
      <c r="C6329" s="2">
        <f>HYPERLINK("https://sao.dolgi.msk.ru/account/1404121583/", 1404121583)</f>
        <v>1404121583</v>
      </c>
      <c r="D6329">
        <v>-1761.95</v>
      </c>
    </row>
    <row r="6330" spans="1:4" hidden="1" x14ac:dyDescent="0.25">
      <c r="A6330" t="s">
        <v>674</v>
      </c>
      <c r="B6330" t="s">
        <v>345</v>
      </c>
      <c r="C6330" s="2">
        <f>HYPERLINK("https://sao.dolgi.msk.ru/account/1404122084/", 1404122084)</f>
        <v>1404122084</v>
      </c>
      <c r="D6330">
        <v>-3195.92</v>
      </c>
    </row>
    <row r="6331" spans="1:4" hidden="1" x14ac:dyDescent="0.25">
      <c r="A6331" t="s">
        <v>674</v>
      </c>
      <c r="B6331" t="s">
        <v>346</v>
      </c>
      <c r="C6331" s="2">
        <f>HYPERLINK("https://sao.dolgi.msk.ru/account/1404121807/", 1404121807)</f>
        <v>1404121807</v>
      </c>
      <c r="D6331">
        <v>-3760.89</v>
      </c>
    </row>
    <row r="6332" spans="1:4" hidden="1" x14ac:dyDescent="0.25">
      <c r="A6332" t="s">
        <v>674</v>
      </c>
      <c r="B6332" t="s">
        <v>347</v>
      </c>
      <c r="C6332" s="2">
        <f>HYPERLINK("https://sao.dolgi.msk.ru/account/1404122092/", 1404122092)</f>
        <v>1404122092</v>
      </c>
      <c r="D6332">
        <v>-3448.22</v>
      </c>
    </row>
    <row r="6333" spans="1:4" hidden="1" x14ac:dyDescent="0.25">
      <c r="A6333" t="s">
        <v>674</v>
      </c>
      <c r="B6333" t="s">
        <v>348</v>
      </c>
      <c r="C6333" s="2">
        <f>HYPERLINK("https://sao.dolgi.msk.ru/account/1404122105/", 1404122105)</f>
        <v>1404122105</v>
      </c>
      <c r="D6333">
        <v>-2988.62</v>
      </c>
    </row>
    <row r="6334" spans="1:4" hidden="1" x14ac:dyDescent="0.25">
      <c r="A6334" t="s">
        <v>674</v>
      </c>
      <c r="B6334" t="s">
        <v>349</v>
      </c>
      <c r="C6334" s="2">
        <f>HYPERLINK("https://sao.dolgi.msk.ru/account/1404121591/", 1404121591)</f>
        <v>1404121591</v>
      </c>
      <c r="D6334">
        <v>-129.9</v>
      </c>
    </row>
    <row r="6335" spans="1:4" hidden="1" x14ac:dyDescent="0.25">
      <c r="A6335" t="s">
        <v>674</v>
      </c>
      <c r="B6335" t="s">
        <v>350</v>
      </c>
      <c r="C6335" s="2">
        <f>HYPERLINK("https://sao.dolgi.msk.ru/account/1404121815/", 1404121815)</f>
        <v>1404121815</v>
      </c>
      <c r="D6335">
        <v>-2536.6</v>
      </c>
    </row>
    <row r="6336" spans="1:4" hidden="1" x14ac:dyDescent="0.25">
      <c r="A6336" t="s">
        <v>674</v>
      </c>
      <c r="B6336" t="s">
        <v>351</v>
      </c>
      <c r="C6336" s="2">
        <f>HYPERLINK("https://sao.dolgi.msk.ru/account/1404121604/", 1404121604)</f>
        <v>1404121604</v>
      </c>
      <c r="D6336">
        <v>-2509.5100000000002</v>
      </c>
    </row>
    <row r="6337" spans="1:4" hidden="1" x14ac:dyDescent="0.25">
      <c r="A6337" t="s">
        <v>674</v>
      </c>
      <c r="B6337" t="s">
        <v>352</v>
      </c>
      <c r="C6337" s="2">
        <f>HYPERLINK("https://sao.dolgi.msk.ru/account/1404121479/", 1404121479)</f>
        <v>1404121479</v>
      </c>
      <c r="D6337">
        <v>-7263.17</v>
      </c>
    </row>
    <row r="6338" spans="1:4" x14ac:dyDescent="0.25">
      <c r="A6338" t="s">
        <v>674</v>
      </c>
      <c r="B6338" t="s">
        <v>353</v>
      </c>
      <c r="C6338" s="2">
        <f>HYPERLINK("https://sao.dolgi.msk.ru/account/1404121487/", 1404121487)</f>
        <v>1404121487</v>
      </c>
      <c r="D6338">
        <v>16475.87</v>
      </c>
    </row>
    <row r="6339" spans="1:4" hidden="1" x14ac:dyDescent="0.25">
      <c r="A6339" t="s">
        <v>674</v>
      </c>
      <c r="B6339" t="s">
        <v>354</v>
      </c>
      <c r="C6339" s="2">
        <f>HYPERLINK("https://sao.dolgi.msk.ru/account/1404121727/", 1404121727)</f>
        <v>1404121727</v>
      </c>
      <c r="D6339">
        <v>-4149</v>
      </c>
    </row>
    <row r="6340" spans="1:4" x14ac:dyDescent="0.25">
      <c r="A6340" t="s">
        <v>674</v>
      </c>
      <c r="B6340" t="s">
        <v>355</v>
      </c>
      <c r="C6340" s="2">
        <f>HYPERLINK("https://sao.dolgi.msk.ru/account/1404122113/", 1404122113)</f>
        <v>1404122113</v>
      </c>
      <c r="D6340">
        <v>6228.67</v>
      </c>
    </row>
    <row r="6341" spans="1:4" hidden="1" x14ac:dyDescent="0.25">
      <c r="A6341" t="s">
        <v>674</v>
      </c>
      <c r="B6341" t="s">
        <v>356</v>
      </c>
      <c r="C6341" s="2">
        <f>HYPERLINK("https://sao.dolgi.msk.ru/account/1404121399/", 1404121399)</f>
        <v>1404121399</v>
      </c>
      <c r="D6341">
        <v>-2709.24</v>
      </c>
    </row>
    <row r="6342" spans="1:4" hidden="1" x14ac:dyDescent="0.25">
      <c r="A6342" t="s">
        <v>674</v>
      </c>
      <c r="B6342" t="s">
        <v>357</v>
      </c>
      <c r="C6342" s="2">
        <f>HYPERLINK("https://sao.dolgi.msk.ru/account/1404122121/", 1404122121)</f>
        <v>1404122121</v>
      </c>
      <c r="D6342">
        <v>-1727.23</v>
      </c>
    </row>
    <row r="6343" spans="1:4" hidden="1" x14ac:dyDescent="0.25">
      <c r="A6343" t="s">
        <v>674</v>
      </c>
      <c r="B6343" t="s">
        <v>358</v>
      </c>
      <c r="C6343" s="2">
        <f>HYPERLINK("https://sao.dolgi.msk.ru/account/1404122279/", 1404122279)</f>
        <v>1404122279</v>
      </c>
      <c r="D6343">
        <v>-5251.89</v>
      </c>
    </row>
    <row r="6344" spans="1:4" x14ac:dyDescent="0.25">
      <c r="A6344" t="s">
        <v>674</v>
      </c>
      <c r="B6344" t="s">
        <v>359</v>
      </c>
      <c r="C6344" s="2">
        <f>HYPERLINK("https://sao.dolgi.msk.ru/account/1404122148/", 1404122148)</f>
        <v>1404122148</v>
      </c>
      <c r="D6344">
        <v>28.98</v>
      </c>
    </row>
    <row r="6345" spans="1:4" hidden="1" x14ac:dyDescent="0.25">
      <c r="A6345" t="s">
        <v>674</v>
      </c>
      <c r="B6345" t="s">
        <v>360</v>
      </c>
      <c r="C6345" s="2">
        <f>HYPERLINK("https://sao.dolgi.msk.ru/account/1404122156/", 1404122156)</f>
        <v>1404122156</v>
      </c>
      <c r="D6345">
        <v>-4836.6899999999996</v>
      </c>
    </row>
    <row r="6346" spans="1:4" hidden="1" x14ac:dyDescent="0.25">
      <c r="A6346" t="s">
        <v>674</v>
      </c>
      <c r="B6346" t="s">
        <v>361</v>
      </c>
      <c r="C6346" s="2">
        <f>HYPERLINK("https://sao.dolgi.msk.ru/account/1404121559/", 1404121559)</f>
        <v>1404121559</v>
      </c>
      <c r="D6346">
        <v>-4310.04</v>
      </c>
    </row>
    <row r="6347" spans="1:4" hidden="1" x14ac:dyDescent="0.25">
      <c r="A6347" t="s">
        <v>674</v>
      </c>
      <c r="B6347" t="s">
        <v>362</v>
      </c>
      <c r="C6347" s="2">
        <f>HYPERLINK("https://sao.dolgi.msk.ru/account/1404121962/", 1404121962)</f>
        <v>1404121962</v>
      </c>
      <c r="D6347">
        <v>-3103.38</v>
      </c>
    </row>
    <row r="6348" spans="1:4" hidden="1" x14ac:dyDescent="0.25">
      <c r="A6348" t="s">
        <v>674</v>
      </c>
      <c r="B6348" t="s">
        <v>363</v>
      </c>
      <c r="C6348" s="2">
        <f>HYPERLINK("https://sao.dolgi.msk.ru/account/1404121823/", 1404121823)</f>
        <v>1404121823</v>
      </c>
      <c r="D6348">
        <v>-5047.99</v>
      </c>
    </row>
    <row r="6349" spans="1:4" hidden="1" x14ac:dyDescent="0.25">
      <c r="A6349" t="s">
        <v>674</v>
      </c>
      <c r="B6349" t="s">
        <v>364</v>
      </c>
      <c r="C6349" s="2">
        <f>HYPERLINK("https://sao.dolgi.msk.ru/account/1404122164/", 1404122164)</f>
        <v>1404122164</v>
      </c>
      <c r="D6349">
        <v>-2924.1</v>
      </c>
    </row>
    <row r="6350" spans="1:4" hidden="1" x14ac:dyDescent="0.25">
      <c r="A6350" t="s">
        <v>674</v>
      </c>
      <c r="B6350" t="s">
        <v>365</v>
      </c>
      <c r="C6350" s="2">
        <f>HYPERLINK("https://sao.dolgi.msk.ru/account/1404121401/", 1404121401)</f>
        <v>1404121401</v>
      </c>
      <c r="D6350">
        <v>-3718.74</v>
      </c>
    </row>
    <row r="6351" spans="1:4" hidden="1" x14ac:dyDescent="0.25">
      <c r="A6351" t="s">
        <v>674</v>
      </c>
      <c r="B6351" t="s">
        <v>366</v>
      </c>
      <c r="C6351" s="2">
        <f>HYPERLINK("https://sao.dolgi.msk.ru/account/1404122172/", 1404122172)</f>
        <v>1404122172</v>
      </c>
      <c r="D6351">
        <v>-2422.25</v>
      </c>
    </row>
    <row r="6352" spans="1:4" x14ac:dyDescent="0.25">
      <c r="A6352" t="s">
        <v>674</v>
      </c>
      <c r="B6352" t="s">
        <v>367</v>
      </c>
      <c r="C6352" s="2">
        <f>HYPERLINK("https://sao.dolgi.msk.ru/account/1404122287/", 1404122287)</f>
        <v>1404122287</v>
      </c>
      <c r="D6352">
        <v>17214.93</v>
      </c>
    </row>
    <row r="6353" spans="1:4" hidden="1" x14ac:dyDescent="0.25">
      <c r="A6353" t="s">
        <v>674</v>
      </c>
      <c r="B6353" t="s">
        <v>368</v>
      </c>
      <c r="C6353" s="2">
        <f>HYPERLINK("https://sao.dolgi.msk.ru/account/1404121735/", 1404121735)</f>
        <v>1404121735</v>
      </c>
      <c r="D6353">
        <v>-96</v>
      </c>
    </row>
    <row r="6354" spans="1:4" hidden="1" x14ac:dyDescent="0.25">
      <c r="A6354" t="s">
        <v>674</v>
      </c>
      <c r="B6354" t="s">
        <v>369</v>
      </c>
      <c r="C6354" s="2">
        <f>HYPERLINK("https://sao.dolgi.msk.ru/account/1404121612/", 1404121612)</f>
        <v>1404121612</v>
      </c>
      <c r="D6354">
        <v>-6161.3</v>
      </c>
    </row>
    <row r="6355" spans="1:4" x14ac:dyDescent="0.25">
      <c r="A6355" t="s">
        <v>674</v>
      </c>
      <c r="B6355" t="s">
        <v>370</v>
      </c>
      <c r="C6355" s="2">
        <f>HYPERLINK("https://sao.dolgi.msk.ru/account/1404121831/", 1404121831)</f>
        <v>1404121831</v>
      </c>
      <c r="D6355">
        <v>1165.94</v>
      </c>
    </row>
    <row r="6356" spans="1:4" hidden="1" x14ac:dyDescent="0.25">
      <c r="A6356" t="s">
        <v>674</v>
      </c>
      <c r="B6356" t="s">
        <v>371</v>
      </c>
      <c r="C6356" s="2">
        <f>HYPERLINK("https://sao.dolgi.msk.ru/account/1404121858/", 1404121858)</f>
        <v>1404121858</v>
      </c>
      <c r="D6356">
        <v>-3980.35</v>
      </c>
    </row>
    <row r="6357" spans="1:4" hidden="1" x14ac:dyDescent="0.25">
      <c r="A6357" t="s">
        <v>674</v>
      </c>
      <c r="B6357" t="s">
        <v>372</v>
      </c>
      <c r="C6357" s="2">
        <f>HYPERLINK("https://sao.dolgi.msk.ru/account/1404121495/", 1404121495)</f>
        <v>1404121495</v>
      </c>
      <c r="D6357">
        <v>-2951.62</v>
      </c>
    </row>
    <row r="6358" spans="1:4" hidden="1" x14ac:dyDescent="0.25">
      <c r="A6358" t="s">
        <v>674</v>
      </c>
      <c r="B6358" t="s">
        <v>373</v>
      </c>
      <c r="C6358" s="2">
        <f>HYPERLINK("https://sao.dolgi.msk.ru/account/1404121866/", 1404121866)</f>
        <v>1404121866</v>
      </c>
      <c r="D6358">
        <v>0</v>
      </c>
    </row>
    <row r="6359" spans="1:4" x14ac:dyDescent="0.25">
      <c r="A6359" t="s">
        <v>674</v>
      </c>
      <c r="B6359" t="s">
        <v>374</v>
      </c>
      <c r="C6359" s="2">
        <f>HYPERLINK("https://sao.dolgi.msk.ru/account/1404121743/", 1404121743)</f>
        <v>1404121743</v>
      </c>
      <c r="D6359">
        <v>4693.95</v>
      </c>
    </row>
    <row r="6360" spans="1:4" hidden="1" x14ac:dyDescent="0.25">
      <c r="A6360" t="s">
        <v>674</v>
      </c>
      <c r="B6360" t="s">
        <v>375</v>
      </c>
      <c r="C6360" s="2">
        <f>HYPERLINK("https://sao.dolgi.msk.ru/account/1404122199/", 1404122199)</f>
        <v>1404122199</v>
      </c>
      <c r="D6360">
        <v>-4134.6000000000004</v>
      </c>
    </row>
    <row r="6361" spans="1:4" hidden="1" x14ac:dyDescent="0.25">
      <c r="A6361" t="s">
        <v>674</v>
      </c>
      <c r="B6361" t="s">
        <v>376</v>
      </c>
      <c r="C6361" s="2">
        <f>HYPERLINK("https://sao.dolgi.msk.ru/account/1404122201/", 1404122201)</f>
        <v>1404122201</v>
      </c>
      <c r="D6361">
        <v>-4455.12</v>
      </c>
    </row>
    <row r="6362" spans="1:4" hidden="1" x14ac:dyDescent="0.25">
      <c r="A6362" t="s">
        <v>674</v>
      </c>
      <c r="B6362" t="s">
        <v>377</v>
      </c>
      <c r="C6362" s="2">
        <f>HYPERLINK("https://sao.dolgi.msk.ru/account/1404122295/", 1404122295)</f>
        <v>1404122295</v>
      </c>
      <c r="D6362">
        <v>-2255.4</v>
      </c>
    </row>
    <row r="6363" spans="1:4" hidden="1" x14ac:dyDescent="0.25">
      <c r="A6363" t="s">
        <v>674</v>
      </c>
      <c r="B6363" t="s">
        <v>378</v>
      </c>
      <c r="C6363" s="2">
        <f>HYPERLINK("https://sao.dolgi.msk.ru/account/1404121508/", 1404121508)</f>
        <v>1404121508</v>
      </c>
      <c r="D6363">
        <v>-1996.75</v>
      </c>
    </row>
    <row r="6364" spans="1:4" hidden="1" x14ac:dyDescent="0.25">
      <c r="A6364" t="s">
        <v>674</v>
      </c>
      <c r="B6364" t="s">
        <v>378</v>
      </c>
      <c r="C6364" s="2">
        <f>HYPERLINK("https://sao.dolgi.msk.ru/account/1404121639/", 1404121639)</f>
        <v>1404121639</v>
      </c>
      <c r="D6364">
        <v>-2530.73</v>
      </c>
    </row>
    <row r="6365" spans="1:4" hidden="1" x14ac:dyDescent="0.25">
      <c r="A6365" t="s">
        <v>674</v>
      </c>
      <c r="B6365" t="s">
        <v>378</v>
      </c>
      <c r="C6365" s="2">
        <f>HYPERLINK("https://sao.dolgi.msk.ru/account/1404121989/", 1404121989)</f>
        <v>1404121989</v>
      </c>
      <c r="D6365">
        <v>0</v>
      </c>
    </row>
    <row r="6366" spans="1:4" hidden="1" x14ac:dyDescent="0.25">
      <c r="A6366" t="s">
        <v>674</v>
      </c>
      <c r="B6366" t="s">
        <v>379</v>
      </c>
      <c r="C6366" s="2">
        <f>HYPERLINK("https://sao.dolgi.msk.ru/account/1404121997/", 1404121997)</f>
        <v>1404121997</v>
      </c>
      <c r="D6366">
        <v>-26.78</v>
      </c>
    </row>
    <row r="6367" spans="1:4" hidden="1" x14ac:dyDescent="0.25">
      <c r="A6367" t="s">
        <v>674</v>
      </c>
      <c r="B6367" t="s">
        <v>380</v>
      </c>
      <c r="C6367" s="2">
        <f>HYPERLINK("https://sao.dolgi.msk.ru/account/1404121516/", 1404121516)</f>
        <v>1404121516</v>
      </c>
      <c r="D6367">
        <v>-4749.5600000000004</v>
      </c>
    </row>
    <row r="6368" spans="1:4" x14ac:dyDescent="0.25">
      <c r="A6368" t="s">
        <v>674</v>
      </c>
      <c r="B6368" t="s">
        <v>381</v>
      </c>
      <c r="C6368" s="2">
        <f>HYPERLINK("https://sao.dolgi.msk.ru/account/1404122308/", 1404122308)</f>
        <v>1404122308</v>
      </c>
      <c r="D6368">
        <v>3399.83</v>
      </c>
    </row>
    <row r="6369" spans="1:4" hidden="1" x14ac:dyDescent="0.25">
      <c r="A6369" t="s">
        <v>674</v>
      </c>
      <c r="B6369" t="s">
        <v>382</v>
      </c>
      <c r="C6369" s="2">
        <f>HYPERLINK("https://sao.dolgi.msk.ru/account/1404121647/", 1404121647)</f>
        <v>1404121647</v>
      </c>
      <c r="D6369">
        <v>-2960.21</v>
      </c>
    </row>
    <row r="6370" spans="1:4" hidden="1" x14ac:dyDescent="0.25">
      <c r="A6370" t="s">
        <v>674</v>
      </c>
      <c r="B6370" t="s">
        <v>383</v>
      </c>
      <c r="C6370" s="2">
        <f>HYPERLINK("https://sao.dolgi.msk.ru/account/1404122228/", 1404122228)</f>
        <v>1404122228</v>
      </c>
      <c r="D6370">
        <v>-3673.15</v>
      </c>
    </row>
    <row r="6371" spans="1:4" hidden="1" x14ac:dyDescent="0.25">
      <c r="A6371" t="s">
        <v>674</v>
      </c>
      <c r="B6371" t="s">
        <v>384</v>
      </c>
      <c r="C6371" s="2">
        <f>HYPERLINK("https://sao.dolgi.msk.ru/account/1404121751/", 1404121751)</f>
        <v>1404121751</v>
      </c>
      <c r="D6371">
        <v>-5218.75</v>
      </c>
    </row>
    <row r="6372" spans="1:4" x14ac:dyDescent="0.25">
      <c r="A6372" t="s">
        <v>674</v>
      </c>
      <c r="B6372" t="s">
        <v>385</v>
      </c>
      <c r="C6372" s="2">
        <f>HYPERLINK("https://sao.dolgi.msk.ru/account/1404121524/", 1404121524)</f>
        <v>1404121524</v>
      </c>
      <c r="D6372">
        <v>448.5</v>
      </c>
    </row>
    <row r="6373" spans="1:4" hidden="1" x14ac:dyDescent="0.25">
      <c r="A6373" t="s">
        <v>674</v>
      </c>
      <c r="B6373" t="s">
        <v>386</v>
      </c>
      <c r="C6373" s="2">
        <f>HYPERLINK("https://sao.dolgi.msk.ru/account/1404121655/", 1404121655)</f>
        <v>1404121655</v>
      </c>
      <c r="D6373">
        <v>0</v>
      </c>
    </row>
    <row r="6374" spans="1:4" hidden="1" x14ac:dyDescent="0.25">
      <c r="A6374" t="s">
        <v>674</v>
      </c>
      <c r="B6374" t="s">
        <v>387</v>
      </c>
      <c r="C6374" s="2">
        <f>HYPERLINK("https://sao.dolgi.msk.ru/account/1404122009/", 1404122009)</f>
        <v>1404122009</v>
      </c>
      <c r="D6374">
        <v>0</v>
      </c>
    </row>
    <row r="6375" spans="1:4" hidden="1" x14ac:dyDescent="0.25">
      <c r="A6375" t="s">
        <v>674</v>
      </c>
      <c r="B6375" t="s">
        <v>388</v>
      </c>
      <c r="C6375" s="2">
        <f>HYPERLINK("https://sao.dolgi.msk.ru/account/1404122017/", 1404122017)</f>
        <v>1404122017</v>
      </c>
      <c r="D6375">
        <v>-5871.29</v>
      </c>
    </row>
    <row r="6376" spans="1:4" hidden="1" x14ac:dyDescent="0.25">
      <c r="A6376" t="s">
        <v>674</v>
      </c>
      <c r="B6376" t="s">
        <v>389</v>
      </c>
      <c r="C6376" s="2">
        <f>HYPERLINK("https://sao.dolgi.msk.ru/account/1404122316/", 1404122316)</f>
        <v>1404122316</v>
      </c>
      <c r="D6376">
        <v>-6700.09</v>
      </c>
    </row>
    <row r="6377" spans="1:4" x14ac:dyDescent="0.25">
      <c r="A6377" t="s">
        <v>674</v>
      </c>
      <c r="B6377" t="s">
        <v>390</v>
      </c>
      <c r="C6377" s="2">
        <f>HYPERLINK("https://sao.dolgi.msk.ru/account/1404121778/", 1404121778)</f>
        <v>1404121778</v>
      </c>
      <c r="D6377">
        <v>8398.15</v>
      </c>
    </row>
    <row r="6378" spans="1:4" hidden="1" x14ac:dyDescent="0.25">
      <c r="A6378" t="s">
        <v>674</v>
      </c>
      <c r="B6378" t="s">
        <v>391</v>
      </c>
      <c r="C6378" s="2">
        <f>HYPERLINK("https://sao.dolgi.msk.ru/account/1404122324/", 1404122324)</f>
        <v>1404122324</v>
      </c>
      <c r="D6378">
        <v>-4084.01</v>
      </c>
    </row>
    <row r="6379" spans="1:4" hidden="1" x14ac:dyDescent="0.25">
      <c r="A6379" t="s">
        <v>674</v>
      </c>
      <c r="B6379" t="s">
        <v>392</v>
      </c>
      <c r="C6379" s="2">
        <f>HYPERLINK("https://sao.dolgi.msk.ru/account/1404122332/", 1404122332)</f>
        <v>1404122332</v>
      </c>
      <c r="D6379">
        <v>0</v>
      </c>
    </row>
    <row r="6380" spans="1:4" hidden="1" x14ac:dyDescent="0.25">
      <c r="A6380" t="s">
        <v>674</v>
      </c>
      <c r="B6380" t="s">
        <v>393</v>
      </c>
      <c r="C6380" s="2">
        <f>HYPERLINK("https://sao.dolgi.msk.ru/account/1404121874/", 1404121874)</f>
        <v>1404121874</v>
      </c>
      <c r="D6380">
        <v>-2215.7600000000002</v>
      </c>
    </row>
    <row r="6381" spans="1:4" hidden="1" x14ac:dyDescent="0.25">
      <c r="A6381" t="s">
        <v>674</v>
      </c>
      <c r="B6381" t="s">
        <v>394</v>
      </c>
      <c r="C6381" s="2">
        <f>HYPERLINK("https://sao.dolgi.msk.ru/account/1404121663/", 1404121663)</f>
        <v>1404121663</v>
      </c>
      <c r="D6381">
        <v>-3813.75</v>
      </c>
    </row>
    <row r="6382" spans="1:4" hidden="1" x14ac:dyDescent="0.25">
      <c r="A6382" t="s">
        <v>674</v>
      </c>
      <c r="B6382" t="s">
        <v>395</v>
      </c>
      <c r="C6382" s="2">
        <f>HYPERLINK("https://sao.dolgi.msk.ru/account/1404122025/", 1404122025)</f>
        <v>1404122025</v>
      </c>
      <c r="D6382">
        <v>-1434.21</v>
      </c>
    </row>
    <row r="6383" spans="1:4" hidden="1" x14ac:dyDescent="0.25">
      <c r="A6383" t="s">
        <v>674</v>
      </c>
      <c r="B6383" t="s">
        <v>396</v>
      </c>
      <c r="C6383" s="2">
        <f>HYPERLINK("https://sao.dolgi.msk.ru/account/1404122359/", 1404122359)</f>
        <v>1404122359</v>
      </c>
      <c r="D6383">
        <v>-2142.02</v>
      </c>
    </row>
    <row r="6384" spans="1:4" hidden="1" x14ac:dyDescent="0.25">
      <c r="A6384" t="s">
        <v>674</v>
      </c>
      <c r="B6384" t="s">
        <v>397</v>
      </c>
      <c r="C6384" s="2">
        <f>HYPERLINK("https://sao.dolgi.msk.ru/account/1404122367/", 1404122367)</f>
        <v>1404122367</v>
      </c>
      <c r="D6384">
        <v>0</v>
      </c>
    </row>
    <row r="6385" spans="1:4" hidden="1" x14ac:dyDescent="0.25">
      <c r="A6385" t="s">
        <v>674</v>
      </c>
      <c r="B6385" t="s">
        <v>398</v>
      </c>
      <c r="C6385" s="2">
        <f>HYPERLINK("https://sao.dolgi.msk.ru/account/1404122236/", 1404122236)</f>
        <v>1404122236</v>
      </c>
      <c r="D6385">
        <v>-216.64</v>
      </c>
    </row>
    <row r="6386" spans="1:4" hidden="1" x14ac:dyDescent="0.25">
      <c r="A6386" t="s">
        <v>674</v>
      </c>
      <c r="B6386" t="s">
        <v>399</v>
      </c>
      <c r="C6386" s="2">
        <f>HYPERLINK("https://sao.dolgi.msk.ru/account/1404121428/", 1404121428)</f>
        <v>1404121428</v>
      </c>
      <c r="D6386">
        <v>-816.26</v>
      </c>
    </row>
    <row r="6387" spans="1:4" hidden="1" x14ac:dyDescent="0.25">
      <c r="A6387" t="s">
        <v>674</v>
      </c>
      <c r="B6387" t="s">
        <v>399</v>
      </c>
      <c r="C6387" s="2">
        <f>HYPERLINK("https://sao.dolgi.msk.ru/account/1404121532/", 1404121532)</f>
        <v>1404121532</v>
      </c>
      <c r="D6387">
        <v>-5785.23</v>
      </c>
    </row>
    <row r="6388" spans="1:4" x14ac:dyDescent="0.25">
      <c r="A6388" t="s">
        <v>674</v>
      </c>
      <c r="B6388" t="s">
        <v>399</v>
      </c>
      <c r="C6388" s="2">
        <f>HYPERLINK("https://sao.dolgi.msk.ru/account/1404121671/", 1404121671)</f>
        <v>1404121671</v>
      </c>
      <c r="D6388">
        <v>659.25</v>
      </c>
    </row>
    <row r="6389" spans="1:4" hidden="1" x14ac:dyDescent="0.25">
      <c r="A6389" t="s">
        <v>674</v>
      </c>
      <c r="B6389" t="s">
        <v>399</v>
      </c>
      <c r="C6389" s="2">
        <f>HYPERLINK("https://sao.dolgi.msk.ru/account/1404121786/", 1404121786)</f>
        <v>1404121786</v>
      </c>
      <c r="D6389">
        <v>-232.64</v>
      </c>
    </row>
    <row r="6390" spans="1:4" x14ac:dyDescent="0.25">
      <c r="A6390" t="s">
        <v>674</v>
      </c>
      <c r="B6390" t="s">
        <v>399</v>
      </c>
      <c r="C6390" s="2">
        <f>HYPERLINK("https://sao.dolgi.msk.ru/account/1404121882/", 1404121882)</f>
        <v>1404121882</v>
      </c>
      <c r="D6390">
        <v>178.37</v>
      </c>
    </row>
    <row r="6391" spans="1:4" hidden="1" x14ac:dyDescent="0.25">
      <c r="A6391" t="s">
        <v>675</v>
      </c>
      <c r="B6391" t="s">
        <v>5</v>
      </c>
      <c r="C6391" s="2">
        <f>HYPERLINK("https://sao.dolgi.msk.ru/account/1404123343/", 1404123343)</f>
        <v>1404123343</v>
      </c>
      <c r="D6391">
        <v>-2903.13</v>
      </c>
    </row>
    <row r="6392" spans="1:4" hidden="1" x14ac:dyDescent="0.25">
      <c r="A6392" t="s">
        <v>675</v>
      </c>
      <c r="B6392" t="s">
        <v>6</v>
      </c>
      <c r="C6392" s="2">
        <f>HYPERLINK("https://sao.dolgi.msk.ru/account/1404123175/", 1404123175)</f>
        <v>1404123175</v>
      </c>
      <c r="D6392">
        <v>-5897.53</v>
      </c>
    </row>
    <row r="6393" spans="1:4" hidden="1" x14ac:dyDescent="0.25">
      <c r="A6393" t="s">
        <v>675</v>
      </c>
      <c r="B6393" t="s">
        <v>7</v>
      </c>
      <c r="C6393" s="2">
        <f>HYPERLINK("https://sao.dolgi.msk.ru/account/1404123765/", 1404123765)</f>
        <v>1404123765</v>
      </c>
      <c r="D6393">
        <v>-3361.96</v>
      </c>
    </row>
    <row r="6394" spans="1:4" hidden="1" x14ac:dyDescent="0.25">
      <c r="A6394" t="s">
        <v>675</v>
      </c>
      <c r="B6394" t="s">
        <v>8</v>
      </c>
      <c r="C6394" s="2">
        <f>HYPERLINK("https://sao.dolgi.msk.ru/account/1404122412/", 1404122412)</f>
        <v>1404122412</v>
      </c>
      <c r="D6394">
        <v>0</v>
      </c>
    </row>
    <row r="6395" spans="1:4" hidden="1" x14ac:dyDescent="0.25">
      <c r="A6395" t="s">
        <v>675</v>
      </c>
      <c r="B6395" t="s">
        <v>9</v>
      </c>
      <c r="C6395" s="2">
        <f>HYPERLINK("https://sao.dolgi.msk.ru/account/1404123837/", 1404123837)</f>
        <v>1404123837</v>
      </c>
      <c r="D6395">
        <v>-2629.01</v>
      </c>
    </row>
    <row r="6396" spans="1:4" x14ac:dyDescent="0.25">
      <c r="A6396" t="s">
        <v>675</v>
      </c>
      <c r="B6396" t="s">
        <v>10</v>
      </c>
      <c r="C6396" s="2">
        <f>HYPERLINK("https://sao.dolgi.msk.ru/account/1404123845/", 1404123845)</f>
        <v>1404123845</v>
      </c>
      <c r="D6396">
        <v>5692.78</v>
      </c>
    </row>
    <row r="6397" spans="1:4" hidden="1" x14ac:dyDescent="0.25">
      <c r="A6397" t="s">
        <v>675</v>
      </c>
      <c r="B6397" t="s">
        <v>11</v>
      </c>
      <c r="C6397" s="2">
        <f>HYPERLINK("https://sao.dolgi.msk.ru/account/1404123255/", 1404123255)</f>
        <v>1404123255</v>
      </c>
      <c r="D6397">
        <v>-3679.98</v>
      </c>
    </row>
    <row r="6398" spans="1:4" hidden="1" x14ac:dyDescent="0.25">
      <c r="A6398" t="s">
        <v>675</v>
      </c>
      <c r="B6398" t="s">
        <v>12</v>
      </c>
      <c r="C6398" s="2">
        <f>HYPERLINK("https://sao.dolgi.msk.ru/account/1404123108/", 1404123108)</f>
        <v>1404123108</v>
      </c>
      <c r="D6398">
        <v>-4132.99</v>
      </c>
    </row>
    <row r="6399" spans="1:4" hidden="1" x14ac:dyDescent="0.25">
      <c r="A6399" t="s">
        <v>675</v>
      </c>
      <c r="B6399" t="s">
        <v>13</v>
      </c>
      <c r="C6399" s="2">
        <f>HYPERLINK("https://sao.dolgi.msk.ru/account/1404122498/", 1404122498)</f>
        <v>1404122498</v>
      </c>
      <c r="D6399">
        <v>-5140.2299999999996</v>
      </c>
    </row>
    <row r="6400" spans="1:4" hidden="1" x14ac:dyDescent="0.25">
      <c r="A6400" t="s">
        <v>675</v>
      </c>
      <c r="B6400" t="s">
        <v>14</v>
      </c>
      <c r="C6400" s="2">
        <f>HYPERLINK("https://sao.dolgi.msk.ru/account/1404122375/", 1404122375)</f>
        <v>1404122375</v>
      </c>
      <c r="D6400">
        <v>-5856.46</v>
      </c>
    </row>
    <row r="6401" spans="1:4" hidden="1" x14ac:dyDescent="0.25">
      <c r="A6401" t="s">
        <v>675</v>
      </c>
      <c r="B6401" t="s">
        <v>15</v>
      </c>
      <c r="C6401" s="2">
        <f>HYPERLINK("https://sao.dolgi.msk.ru/account/1404122383/", 1404122383)</f>
        <v>1404122383</v>
      </c>
      <c r="D6401">
        <v>-3833.99</v>
      </c>
    </row>
    <row r="6402" spans="1:4" hidden="1" x14ac:dyDescent="0.25">
      <c r="A6402" t="s">
        <v>675</v>
      </c>
      <c r="B6402" t="s">
        <v>16</v>
      </c>
      <c r="C6402" s="2">
        <f>HYPERLINK("https://sao.dolgi.msk.ru/account/1404123554/", 1404123554)</f>
        <v>1404123554</v>
      </c>
      <c r="D6402">
        <v>-5579.66</v>
      </c>
    </row>
    <row r="6403" spans="1:4" hidden="1" x14ac:dyDescent="0.25">
      <c r="A6403" t="s">
        <v>675</v>
      </c>
      <c r="B6403" t="s">
        <v>17</v>
      </c>
      <c r="C6403" s="2">
        <f>HYPERLINK("https://sao.dolgi.msk.ru/account/1404122797/", 1404122797)</f>
        <v>1404122797</v>
      </c>
      <c r="D6403">
        <v>-7410.7</v>
      </c>
    </row>
    <row r="6404" spans="1:4" hidden="1" x14ac:dyDescent="0.25">
      <c r="A6404" t="s">
        <v>675</v>
      </c>
      <c r="B6404" t="s">
        <v>18</v>
      </c>
      <c r="C6404" s="2">
        <f>HYPERLINK("https://sao.dolgi.msk.ru/account/1404123001/", 1404123001)</f>
        <v>1404123001</v>
      </c>
      <c r="D6404">
        <v>-7946.74</v>
      </c>
    </row>
    <row r="6405" spans="1:4" hidden="1" x14ac:dyDescent="0.25">
      <c r="A6405" t="s">
        <v>675</v>
      </c>
      <c r="B6405" t="s">
        <v>19</v>
      </c>
      <c r="C6405" s="2">
        <f>HYPERLINK("https://sao.dolgi.msk.ru/account/1404123167/", 1404123167)</f>
        <v>1404123167</v>
      </c>
      <c r="D6405">
        <v>-2877.75</v>
      </c>
    </row>
    <row r="6406" spans="1:4" hidden="1" x14ac:dyDescent="0.25">
      <c r="A6406" t="s">
        <v>675</v>
      </c>
      <c r="B6406" t="s">
        <v>20</v>
      </c>
      <c r="C6406" s="2">
        <f>HYPERLINK("https://sao.dolgi.msk.ru/account/1404123749/", 1404123749)</f>
        <v>1404123749</v>
      </c>
      <c r="D6406">
        <v>-5570.59</v>
      </c>
    </row>
    <row r="6407" spans="1:4" hidden="1" x14ac:dyDescent="0.25">
      <c r="A6407" t="s">
        <v>675</v>
      </c>
      <c r="B6407" t="s">
        <v>21</v>
      </c>
      <c r="C6407" s="2">
        <f>HYPERLINK("https://sao.dolgi.msk.ru/account/1404123757/", 1404123757)</f>
        <v>1404123757</v>
      </c>
      <c r="D6407">
        <v>-2994.03</v>
      </c>
    </row>
    <row r="6408" spans="1:4" hidden="1" x14ac:dyDescent="0.25">
      <c r="A6408" t="s">
        <v>675</v>
      </c>
      <c r="B6408" t="s">
        <v>22</v>
      </c>
      <c r="C6408" s="2">
        <f>HYPERLINK("https://sao.dolgi.msk.ru/account/1404123562/", 1404123562)</f>
        <v>1404123562</v>
      </c>
      <c r="D6408">
        <v>-5265.69</v>
      </c>
    </row>
    <row r="6409" spans="1:4" hidden="1" x14ac:dyDescent="0.25">
      <c r="A6409" t="s">
        <v>675</v>
      </c>
      <c r="B6409" t="s">
        <v>23</v>
      </c>
      <c r="C6409" s="2">
        <f>HYPERLINK("https://sao.dolgi.msk.ru/account/1404123589/", 1404123589)</f>
        <v>1404123589</v>
      </c>
      <c r="D6409">
        <v>-79.680000000000007</v>
      </c>
    </row>
    <row r="6410" spans="1:4" hidden="1" x14ac:dyDescent="0.25">
      <c r="A6410" t="s">
        <v>675</v>
      </c>
      <c r="B6410" t="s">
        <v>24</v>
      </c>
      <c r="C6410" s="2">
        <f>HYPERLINK("https://sao.dolgi.msk.ru/account/1404123394/", 1404123394)</f>
        <v>1404123394</v>
      </c>
      <c r="D6410">
        <v>0</v>
      </c>
    </row>
    <row r="6411" spans="1:4" hidden="1" x14ac:dyDescent="0.25">
      <c r="A6411" t="s">
        <v>675</v>
      </c>
      <c r="B6411" t="s">
        <v>25</v>
      </c>
      <c r="C6411" s="2">
        <f>HYPERLINK("https://sao.dolgi.msk.ru/account/1404122818/", 1404122818)</f>
        <v>1404122818</v>
      </c>
      <c r="D6411">
        <v>-4961.41</v>
      </c>
    </row>
    <row r="6412" spans="1:4" hidden="1" x14ac:dyDescent="0.25">
      <c r="A6412" t="s">
        <v>675</v>
      </c>
      <c r="B6412" t="s">
        <v>26</v>
      </c>
      <c r="C6412" s="2">
        <f>HYPERLINK("https://sao.dolgi.msk.ru/account/1404122551/", 1404122551)</f>
        <v>1404122551</v>
      </c>
      <c r="D6412">
        <v>-6207.09</v>
      </c>
    </row>
    <row r="6413" spans="1:4" hidden="1" x14ac:dyDescent="0.25">
      <c r="A6413" t="s">
        <v>675</v>
      </c>
      <c r="B6413" t="s">
        <v>27</v>
      </c>
      <c r="C6413" s="2">
        <f>HYPERLINK("https://sao.dolgi.msk.ru/account/1404123183/", 1404123183)</f>
        <v>1404123183</v>
      </c>
      <c r="D6413">
        <v>-4198.6400000000003</v>
      </c>
    </row>
    <row r="6414" spans="1:4" hidden="1" x14ac:dyDescent="0.25">
      <c r="A6414" t="s">
        <v>675</v>
      </c>
      <c r="B6414" t="s">
        <v>28</v>
      </c>
      <c r="C6414" s="2">
        <f>HYPERLINK("https://sao.dolgi.msk.ru/account/1404123191/", 1404123191)</f>
        <v>1404123191</v>
      </c>
      <c r="D6414">
        <v>0</v>
      </c>
    </row>
    <row r="6415" spans="1:4" hidden="1" x14ac:dyDescent="0.25">
      <c r="A6415" t="s">
        <v>675</v>
      </c>
      <c r="B6415" t="s">
        <v>29</v>
      </c>
      <c r="C6415" s="2">
        <f>HYPERLINK("https://sao.dolgi.msk.ru/account/1404122391/", 1404122391)</f>
        <v>1404122391</v>
      </c>
      <c r="D6415">
        <v>-6015.11</v>
      </c>
    </row>
    <row r="6416" spans="1:4" hidden="1" x14ac:dyDescent="0.25">
      <c r="A6416" t="s">
        <v>675</v>
      </c>
      <c r="B6416" t="s">
        <v>30</v>
      </c>
      <c r="C6416" s="2">
        <f>HYPERLINK("https://sao.dolgi.msk.ru/account/1404123597/", 1404123597)</f>
        <v>1404123597</v>
      </c>
      <c r="D6416">
        <v>0</v>
      </c>
    </row>
    <row r="6417" spans="1:4" hidden="1" x14ac:dyDescent="0.25">
      <c r="A6417" t="s">
        <v>675</v>
      </c>
      <c r="B6417" t="s">
        <v>31</v>
      </c>
      <c r="C6417" s="2">
        <f>HYPERLINK("https://sao.dolgi.msk.ru/account/1404123618/", 1404123618)</f>
        <v>1404123618</v>
      </c>
      <c r="D6417">
        <v>0</v>
      </c>
    </row>
    <row r="6418" spans="1:4" hidden="1" x14ac:dyDescent="0.25">
      <c r="A6418" t="s">
        <v>675</v>
      </c>
      <c r="B6418" t="s">
        <v>32</v>
      </c>
      <c r="C6418" s="2">
        <f>HYPERLINK("https://sao.dolgi.msk.ru/account/1404122578/", 1404122578)</f>
        <v>1404122578</v>
      </c>
      <c r="D6418">
        <v>-4026.42</v>
      </c>
    </row>
    <row r="6419" spans="1:4" x14ac:dyDescent="0.25">
      <c r="A6419" t="s">
        <v>675</v>
      </c>
      <c r="B6419" t="s">
        <v>33</v>
      </c>
      <c r="C6419" s="2">
        <f>HYPERLINK("https://sao.dolgi.msk.ru/account/1404123626/", 1404123626)</f>
        <v>1404123626</v>
      </c>
      <c r="D6419">
        <v>5988.25</v>
      </c>
    </row>
    <row r="6420" spans="1:4" hidden="1" x14ac:dyDescent="0.25">
      <c r="A6420" t="s">
        <v>675</v>
      </c>
      <c r="B6420" t="s">
        <v>34</v>
      </c>
      <c r="C6420" s="2">
        <f>HYPERLINK("https://sao.dolgi.msk.ru/account/1404123028/", 1404123028)</f>
        <v>1404123028</v>
      </c>
      <c r="D6420">
        <v>-3919.88</v>
      </c>
    </row>
    <row r="6421" spans="1:4" hidden="1" x14ac:dyDescent="0.25">
      <c r="A6421" t="s">
        <v>675</v>
      </c>
      <c r="B6421" t="s">
        <v>35</v>
      </c>
      <c r="C6421" s="2">
        <f>HYPERLINK("https://sao.dolgi.msk.ru/account/1404122586/", 1404122586)</f>
        <v>1404122586</v>
      </c>
      <c r="D6421">
        <v>-6773.79</v>
      </c>
    </row>
    <row r="6422" spans="1:4" hidden="1" x14ac:dyDescent="0.25">
      <c r="A6422" t="s">
        <v>675</v>
      </c>
      <c r="B6422" t="s">
        <v>36</v>
      </c>
      <c r="C6422" s="2">
        <f>HYPERLINK("https://sao.dolgi.msk.ru/account/1404123036/", 1404123036)</f>
        <v>1404123036</v>
      </c>
      <c r="D6422">
        <v>-7343.11</v>
      </c>
    </row>
    <row r="6423" spans="1:4" hidden="1" x14ac:dyDescent="0.25">
      <c r="A6423" t="s">
        <v>675</v>
      </c>
      <c r="B6423" t="s">
        <v>37</v>
      </c>
      <c r="C6423" s="2">
        <f>HYPERLINK("https://sao.dolgi.msk.ru/account/1404122594/", 1404122594)</f>
        <v>1404122594</v>
      </c>
      <c r="D6423">
        <v>0</v>
      </c>
    </row>
    <row r="6424" spans="1:4" hidden="1" x14ac:dyDescent="0.25">
      <c r="A6424" t="s">
        <v>675</v>
      </c>
      <c r="B6424" t="s">
        <v>38</v>
      </c>
      <c r="C6424" s="2">
        <f>HYPERLINK("https://sao.dolgi.msk.ru/account/1404122404/", 1404122404)</f>
        <v>1404122404</v>
      </c>
      <c r="D6424">
        <v>-11256.69</v>
      </c>
    </row>
    <row r="6425" spans="1:4" hidden="1" x14ac:dyDescent="0.25">
      <c r="A6425" t="s">
        <v>675</v>
      </c>
      <c r="B6425" t="s">
        <v>39</v>
      </c>
      <c r="C6425" s="2">
        <f>HYPERLINK("https://sao.dolgi.msk.ru/account/1404123407/", 1404123407)</f>
        <v>1404123407</v>
      </c>
      <c r="D6425">
        <v>-6758.98</v>
      </c>
    </row>
    <row r="6426" spans="1:4" hidden="1" x14ac:dyDescent="0.25">
      <c r="A6426" t="s">
        <v>675</v>
      </c>
      <c r="B6426" t="s">
        <v>40</v>
      </c>
      <c r="C6426" s="2">
        <f>HYPERLINK("https://sao.dolgi.msk.ru/account/1404123415/", 1404123415)</f>
        <v>1404123415</v>
      </c>
      <c r="D6426">
        <v>-7105.32</v>
      </c>
    </row>
    <row r="6427" spans="1:4" hidden="1" x14ac:dyDescent="0.25">
      <c r="A6427" t="s">
        <v>675</v>
      </c>
      <c r="B6427" t="s">
        <v>41</v>
      </c>
      <c r="C6427" s="2">
        <f>HYPERLINK("https://sao.dolgi.msk.ru/account/1404122826/", 1404122826)</f>
        <v>1404122826</v>
      </c>
      <c r="D6427">
        <v>0</v>
      </c>
    </row>
    <row r="6428" spans="1:4" hidden="1" x14ac:dyDescent="0.25">
      <c r="A6428" t="s">
        <v>675</v>
      </c>
      <c r="B6428" t="s">
        <v>42</v>
      </c>
      <c r="C6428" s="2">
        <f>HYPERLINK("https://sao.dolgi.msk.ru/account/1404123773/", 1404123773)</f>
        <v>1404123773</v>
      </c>
      <c r="D6428">
        <v>-3189.19</v>
      </c>
    </row>
    <row r="6429" spans="1:4" hidden="1" x14ac:dyDescent="0.25">
      <c r="A6429" t="s">
        <v>675</v>
      </c>
      <c r="B6429" t="s">
        <v>43</v>
      </c>
      <c r="C6429" s="2">
        <f>HYPERLINK("https://sao.dolgi.msk.ru/account/1404123781/", 1404123781)</f>
        <v>1404123781</v>
      </c>
      <c r="D6429">
        <v>0</v>
      </c>
    </row>
    <row r="6430" spans="1:4" hidden="1" x14ac:dyDescent="0.25">
      <c r="A6430" t="s">
        <v>675</v>
      </c>
      <c r="B6430" t="s">
        <v>44</v>
      </c>
      <c r="C6430" s="2">
        <f>HYPERLINK("https://sao.dolgi.msk.ru/account/1404123044/", 1404123044)</f>
        <v>1404123044</v>
      </c>
      <c r="D6430">
        <v>0</v>
      </c>
    </row>
    <row r="6431" spans="1:4" hidden="1" x14ac:dyDescent="0.25">
      <c r="A6431" t="s">
        <v>675</v>
      </c>
      <c r="B6431" t="s">
        <v>45</v>
      </c>
      <c r="C6431" s="2">
        <f>HYPERLINK("https://sao.dolgi.msk.ru/account/1404122834/", 1404122834)</f>
        <v>1404122834</v>
      </c>
      <c r="D6431">
        <v>-1898.1</v>
      </c>
    </row>
    <row r="6432" spans="1:4" hidden="1" x14ac:dyDescent="0.25">
      <c r="A6432" t="s">
        <v>675</v>
      </c>
      <c r="B6432" t="s">
        <v>45</v>
      </c>
      <c r="C6432" s="2">
        <f>HYPERLINK("https://sao.dolgi.msk.ru/account/1404123693/", 1404123693)</f>
        <v>1404123693</v>
      </c>
      <c r="D6432">
        <v>-2088.4499999999998</v>
      </c>
    </row>
    <row r="6433" spans="1:4" hidden="1" x14ac:dyDescent="0.25">
      <c r="A6433" t="s">
        <v>675</v>
      </c>
      <c r="B6433" t="s">
        <v>46</v>
      </c>
      <c r="C6433" s="2">
        <f>HYPERLINK("https://sao.dolgi.msk.ru/account/1404123423/", 1404123423)</f>
        <v>1404123423</v>
      </c>
      <c r="D6433">
        <v>-1035.48</v>
      </c>
    </row>
    <row r="6434" spans="1:4" hidden="1" x14ac:dyDescent="0.25">
      <c r="A6434" t="s">
        <v>675</v>
      </c>
      <c r="B6434" t="s">
        <v>47</v>
      </c>
      <c r="C6434" s="2">
        <f>HYPERLINK("https://sao.dolgi.msk.ru/account/1404123802/", 1404123802)</f>
        <v>1404123802</v>
      </c>
      <c r="D6434">
        <v>-5544.31</v>
      </c>
    </row>
    <row r="6435" spans="1:4" hidden="1" x14ac:dyDescent="0.25">
      <c r="A6435" t="s">
        <v>675</v>
      </c>
      <c r="B6435" t="s">
        <v>48</v>
      </c>
      <c r="C6435" s="2">
        <f>HYPERLINK("https://sao.dolgi.msk.ru/account/1404122607/", 1404122607)</f>
        <v>1404122607</v>
      </c>
      <c r="D6435">
        <v>-6871.74</v>
      </c>
    </row>
    <row r="6436" spans="1:4" hidden="1" x14ac:dyDescent="0.25">
      <c r="A6436" t="s">
        <v>675</v>
      </c>
      <c r="B6436" t="s">
        <v>49</v>
      </c>
      <c r="C6436" s="2">
        <f>HYPERLINK("https://sao.dolgi.msk.ru/account/1404122615/", 1404122615)</f>
        <v>1404122615</v>
      </c>
      <c r="D6436">
        <v>-4604.46</v>
      </c>
    </row>
    <row r="6437" spans="1:4" hidden="1" x14ac:dyDescent="0.25">
      <c r="A6437" t="s">
        <v>675</v>
      </c>
      <c r="B6437" t="s">
        <v>50</v>
      </c>
      <c r="C6437" s="2">
        <f>HYPERLINK("https://sao.dolgi.msk.ru/account/1404122842/", 1404122842)</f>
        <v>1404122842</v>
      </c>
      <c r="D6437">
        <v>0</v>
      </c>
    </row>
    <row r="6438" spans="1:4" hidden="1" x14ac:dyDescent="0.25">
      <c r="A6438" t="s">
        <v>675</v>
      </c>
      <c r="B6438" t="s">
        <v>51</v>
      </c>
      <c r="C6438" s="2">
        <f>HYPERLINK("https://sao.dolgi.msk.ru/account/1404123431/", 1404123431)</f>
        <v>1404123431</v>
      </c>
      <c r="D6438">
        <v>-281.81</v>
      </c>
    </row>
    <row r="6439" spans="1:4" hidden="1" x14ac:dyDescent="0.25">
      <c r="A6439" t="s">
        <v>675</v>
      </c>
      <c r="B6439" t="s">
        <v>52</v>
      </c>
      <c r="C6439" s="2">
        <f>HYPERLINK("https://sao.dolgi.msk.ru/account/1404123829/", 1404123829)</f>
        <v>1404123829</v>
      </c>
      <c r="D6439">
        <v>-392.27</v>
      </c>
    </row>
    <row r="6440" spans="1:4" hidden="1" x14ac:dyDescent="0.25">
      <c r="A6440" t="s">
        <v>675</v>
      </c>
      <c r="B6440" t="s">
        <v>53</v>
      </c>
      <c r="C6440" s="2">
        <f>HYPERLINK("https://sao.dolgi.msk.ru/account/1404123458/", 1404123458)</f>
        <v>1404123458</v>
      </c>
      <c r="D6440">
        <v>0</v>
      </c>
    </row>
    <row r="6441" spans="1:4" x14ac:dyDescent="0.25">
      <c r="A6441" t="s">
        <v>675</v>
      </c>
      <c r="B6441" t="s">
        <v>54</v>
      </c>
      <c r="C6441" s="2">
        <f>HYPERLINK("https://sao.dolgi.msk.ru/account/1404122623/", 1404122623)</f>
        <v>1404122623</v>
      </c>
      <c r="D6441">
        <v>10255.290000000001</v>
      </c>
    </row>
    <row r="6442" spans="1:4" hidden="1" x14ac:dyDescent="0.25">
      <c r="A6442" t="s">
        <v>675</v>
      </c>
      <c r="B6442" t="s">
        <v>55</v>
      </c>
      <c r="C6442" s="2">
        <f>HYPERLINK("https://sao.dolgi.msk.ru/account/1404122631/", 1404122631)</f>
        <v>1404122631</v>
      </c>
      <c r="D6442">
        <v>-4355.7</v>
      </c>
    </row>
    <row r="6443" spans="1:4" hidden="1" x14ac:dyDescent="0.25">
      <c r="A6443" t="s">
        <v>675</v>
      </c>
      <c r="B6443" t="s">
        <v>55</v>
      </c>
      <c r="C6443" s="2">
        <f>HYPERLINK("https://sao.dolgi.msk.ru/account/1404123503/", 1404123503)</f>
        <v>1404123503</v>
      </c>
      <c r="D6443">
        <v>-2113.89</v>
      </c>
    </row>
    <row r="6444" spans="1:4" hidden="1" x14ac:dyDescent="0.25">
      <c r="A6444" t="s">
        <v>675</v>
      </c>
      <c r="B6444" t="s">
        <v>56</v>
      </c>
      <c r="C6444" s="2">
        <f>HYPERLINK("https://sao.dolgi.msk.ru/account/1404123204/", 1404123204)</f>
        <v>1404123204</v>
      </c>
      <c r="D6444">
        <v>-7015.77</v>
      </c>
    </row>
    <row r="6445" spans="1:4" hidden="1" x14ac:dyDescent="0.25">
      <c r="A6445" t="s">
        <v>675</v>
      </c>
      <c r="B6445" t="s">
        <v>57</v>
      </c>
      <c r="C6445" s="2">
        <f>HYPERLINK("https://sao.dolgi.msk.ru/account/1404122869/", 1404122869)</f>
        <v>1404122869</v>
      </c>
      <c r="D6445">
        <v>0</v>
      </c>
    </row>
    <row r="6446" spans="1:4" hidden="1" x14ac:dyDescent="0.25">
      <c r="A6446" t="s">
        <v>675</v>
      </c>
      <c r="B6446" t="s">
        <v>58</v>
      </c>
      <c r="C6446" s="2">
        <f>HYPERLINK("https://sao.dolgi.msk.ru/account/1404123212/", 1404123212)</f>
        <v>1404123212</v>
      </c>
      <c r="D6446">
        <v>0</v>
      </c>
    </row>
    <row r="6447" spans="1:4" hidden="1" x14ac:dyDescent="0.25">
      <c r="A6447" t="s">
        <v>675</v>
      </c>
      <c r="B6447" t="s">
        <v>59</v>
      </c>
      <c r="C6447" s="2">
        <f>HYPERLINK("https://sao.dolgi.msk.ru/account/1404123052/", 1404123052)</f>
        <v>1404123052</v>
      </c>
      <c r="D6447">
        <v>0</v>
      </c>
    </row>
    <row r="6448" spans="1:4" hidden="1" x14ac:dyDescent="0.25">
      <c r="A6448" t="s">
        <v>675</v>
      </c>
      <c r="B6448" t="s">
        <v>60</v>
      </c>
      <c r="C6448" s="2">
        <f>HYPERLINK("https://sao.dolgi.msk.ru/account/1404122658/", 1404122658)</f>
        <v>1404122658</v>
      </c>
      <c r="D6448">
        <v>-783.1</v>
      </c>
    </row>
    <row r="6449" spans="1:4" hidden="1" x14ac:dyDescent="0.25">
      <c r="A6449" t="s">
        <v>675</v>
      </c>
      <c r="B6449" t="s">
        <v>61</v>
      </c>
      <c r="C6449" s="2">
        <f>HYPERLINK("https://sao.dolgi.msk.ru/account/1404122666/", 1404122666)</f>
        <v>1404122666</v>
      </c>
      <c r="D6449">
        <v>-3276.98</v>
      </c>
    </row>
    <row r="6450" spans="1:4" hidden="1" x14ac:dyDescent="0.25">
      <c r="A6450" t="s">
        <v>675</v>
      </c>
      <c r="B6450" t="s">
        <v>62</v>
      </c>
      <c r="C6450" s="2">
        <f>HYPERLINK("https://sao.dolgi.msk.ru/account/1404122877/", 1404122877)</f>
        <v>1404122877</v>
      </c>
      <c r="D6450">
        <v>-5906.02</v>
      </c>
    </row>
    <row r="6451" spans="1:4" hidden="1" x14ac:dyDescent="0.25">
      <c r="A6451" t="s">
        <v>675</v>
      </c>
      <c r="B6451" t="s">
        <v>63</v>
      </c>
      <c r="C6451" s="2">
        <f>HYPERLINK("https://sao.dolgi.msk.ru/account/1404122885/", 1404122885)</f>
        <v>1404122885</v>
      </c>
      <c r="D6451">
        <v>-462.82</v>
      </c>
    </row>
    <row r="6452" spans="1:4" hidden="1" x14ac:dyDescent="0.25">
      <c r="A6452" t="s">
        <v>675</v>
      </c>
      <c r="B6452" t="s">
        <v>64</v>
      </c>
      <c r="C6452" s="2">
        <f>HYPERLINK("https://sao.dolgi.msk.ru/account/1404123634/", 1404123634)</f>
        <v>1404123634</v>
      </c>
      <c r="D6452">
        <v>-3898.86</v>
      </c>
    </row>
    <row r="6453" spans="1:4" hidden="1" x14ac:dyDescent="0.25">
      <c r="A6453" t="s">
        <v>675</v>
      </c>
      <c r="B6453" t="s">
        <v>65</v>
      </c>
      <c r="C6453" s="2">
        <f>HYPERLINK("https://sao.dolgi.msk.ru/account/1404123239/", 1404123239)</f>
        <v>1404123239</v>
      </c>
      <c r="D6453">
        <v>-1253.3</v>
      </c>
    </row>
    <row r="6454" spans="1:4" hidden="1" x14ac:dyDescent="0.25">
      <c r="A6454" t="s">
        <v>675</v>
      </c>
      <c r="B6454" t="s">
        <v>65</v>
      </c>
      <c r="C6454" s="2">
        <f>HYPERLINK("https://sao.dolgi.msk.ru/account/1404123888/", 1404123888)</f>
        <v>1404123888</v>
      </c>
      <c r="D6454">
        <v>-4058.58</v>
      </c>
    </row>
    <row r="6455" spans="1:4" hidden="1" x14ac:dyDescent="0.25">
      <c r="A6455" t="s">
        <v>675</v>
      </c>
      <c r="B6455" t="s">
        <v>66</v>
      </c>
      <c r="C6455" s="2">
        <f>HYPERLINK("https://sao.dolgi.msk.ru/account/1404122439/", 1404122439)</f>
        <v>1404122439</v>
      </c>
      <c r="D6455">
        <v>0</v>
      </c>
    </row>
    <row r="6456" spans="1:4" x14ac:dyDescent="0.25">
      <c r="A6456" t="s">
        <v>675</v>
      </c>
      <c r="B6456" t="s">
        <v>67</v>
      </c>
      <c r="C6456" s="2">
        <f>HYPERLINK("https://sao.dolgi.msk.ru/account/1404122674/", 1404122674)</f>
        <v>1404122674</v>
      </c>
      <c r="D6456">
        <v>33991.550000000003</v>
      </c>
    </row>
    <row r="6457" spans="1:4" hidden="1" x14ac:dyDescent="0.25">
      <c r="A6457" t="s">
        <v>675</v>
      </c>
      <c r="B6457" t="s">
        <v>68</v>
      </c>
      <c r="C6457" s="2">
        <f>HYPERLINK("https://sao.dolgi.msk.ru/account/1404123079/", 1404123079)</f>
        <v>1404123079</v>
      </c>
      <c r="D6457">
        <v>-9070.7900000000009</v>
      </c>
    </row>
    <row r="6458" spans="1:4" hidden="1" x14ac:dyDescent="0.25">
      <c r="A6458" t="s">
        <v>675</v>
      </c>
      <c r="B6458" t="s">
        <v>69</v>
      </c>
      <c r="C6458" s="2">
        <f>HYPERLINK("https://sao.dolgi.msk.ru/account/1404123853/", 1404123853)</f>
        <v>1404123853</v>
      </c>
      <c r="D6458">
        <v>-6720.57</v>
      </c>
    </row>
    <row r="6459" spans="1:4" hidden="1" x14ac:dyDescent="0.25">
      <c r="A6459" t="s">
        <v>675</v>
      </c>
      <c r="B6459" t="s">
        <v>70</v>
      </c>
      <c r="C6459" s="2">
        <f>HYPERLINK("https://sao.dolgi.msk.ru/account/1404123087/", 1404123087)</f>
        <v>1404123087</v>
      </c>
      <c r="D6459">
        <v>-5084.6499999999996</v>
      </c>
    </row>
    <row r="6460" spans="1:4" hidden="1" x14ac:dyDescent="0.25">
      <c r="A6460" t="s">
        <v>675</v>
      </c>
      <c r="B6460" t="s">
        <v>71</v>
      </c>
      <c r="C6460" s="2">
        <f>HYPERLINK("https://sao.dolgi.msk.ru/account/1404123247/", 1404123247)</f>
        <v>1404123247</v>
      </c>
      <c r="D6460">
        <v>-4875.53</v>
      </c>
    </row>
    <row r="6461" spans="1:4" hidden="1" x14ac:dyDescent="0.25">
      <c r="A6461" t="s">
        <v>675</v>
      </c>
      <c r="B6461" t="s">
        <v>72</v>
      </c>
      <c r="C6461" s="2">
        <f>HYPERLINK("https://sao.dolgi.msk.ru/account/1404122893/", 1404122893)</f>
        <v>1404122893</v>
      </c>
      <c r="D6461">
        <v>-12457.51</v>
      </c>
    </row>
    <row r="6462" spans="1:4" hidden="1" x14ac:dyDescent="0.25">
      <c r="A6462" t="s">
        <v>675</v>
      </c>
      <c r="B6462" t="s">
        <v>73</v>
      </c>
      <c r="C6462" s="2">
        <f>HYPERLINK("https://sao.dolgi.msk.ru/account/1404123642/", 1404123642)</f>
        <v>1404123642</v>
      </c>
      <c r="D6462">
        <v>-3.43</v>
      </c>
    </row>
    <row r="6463" spans="1:4" x14ac:dyDescent="0.25">
      <c r="A6463" t="s">
        <v>675</v>
      </c>
      <c r="B6463" t="s">
        <v>74</v>
      </c>
      <c r="C6463" s="2">
        <f>HYPERLINK("https://sao.dolgi.msk.ru/account/1404122906/", 1404122906)</f>
        <v>1404122906</v>
      </c>
      <c r="D6463">
        <v>9867.77</v>
      </c>
    </row>
    <row r="6464" spans="1:4" hidden="1" x14ac:dyDescent="0.25">
      <c r="A6464" t="s">
        <v>675</v>
      </c>
      <c r="B6464" t="s">
        <v>75</v>
      </c>
      <c r="C6464" s="2">
        <f>HYPERLINK("https://sao.dolgi.msk.ru/account/1404123263/", 1404123263)</f>
        <v>1404123263</v>
      </c>
      <c r="D6464">
        <v>0</v>
      </c>
    </row>
    <row r="6465" spans="1:4" hidden="1" x14ac:dyDescent="0.25">
      <c r="A6465" t="s">
        <v>675</v>
      </c>
      <c r="B6465" t="s">
        <v>76</v>
      </c>
      <c r="C6465" s="2">
        <f>HYPERLINK("https://sao.dolgi.msk.ru/account/1404122682/", 1404122682)</f>
        <v>1404122682</v>
      </c>
      <c r="D6465">
        <v>0</v>
      </c>
    </row>
    <row r="6466" spans="1:4" hidden="1" x14ac:dyDescent="0.25">
      <c r="A6466" t="s">
        <v>675</v>
      </c>
      <c r="B6466" t="s">
        <v>77</v>
      </c>
      <c r="C6466" s="2">
        <f>HYPERLINK("https://sao.dolgi.msk.ru/account/1404123095/", 1404123095)</f>
        <v>1404123095</v>
      </c>
      <c r="D6466">
        <v>-3714.96</v>
      </c>
    </row>
    <row r="6467" spans="1:4" hidden="1" x14ac:dyDescent="0.25">
      <c r="A6467" t="s">
        <v>675</v>
      </c>
      <c r="B6467" t="s">
        <v>77</v>
      </c>
      <c r="C6467" s="2">
        <f>HYPERLINK("https://sao.dolgi.msk.ru/account/1404123482/", 1404123482)</f>
        <v>1404123482</v>
      </c>
      <c r="D6467">
        <v>-2234.1999999999998</v>
      </c>
    </row>
    <row r="6468" spans="1:4" hidden="1" x14ac:dyDescent="0.25">
      <c r="A6468" t="s">
        <v>675</v>
      </c>
      <c r="B6468" t="s">
        <v>78</v>
      </c>
      <c r="C6468" s="2">
        <f>HYPERLINK("https://sao.dolgi.msk.ru/account/1404123271/", 1404123271)</f>
        <v>1404123271</v>
      </c>
      <c r="D6468">
        <v>-2413.67</v>
      </c>
    </row>
    <row r="6469" spans="1:4" hidden="1" x14ac:dyDescent="0.25">
      <c r="A6469" t="s">
        <v>675</v>
      </c>
      <c r="B6469" t="s">
        <v>79</v>
      </c>
      <c r="C6469" s="2">
        <f>HYPERLINK("https://sao.dolgi.msk.ru/account/1404122447/", 1404122447)</f>
        <v>1404122447</v>
      </c>
      <c r="D6469">
        <v>-688.71</v>
      </c>
    </row>
    <row r="6470" spans="1:4" hidden="1" x14ac:dyDescent="0.25">
      <c r="A6470" t="s">
        <v>675</v>
      </c>
      <c r="B6470" t="s">
        <v>80</v>
      </c>
      <c r="C6470" s="2">
        <f>HYPERLINK("https://sao.dolgi.msk.ru/account/1404123466/", 1404123466)</f>
        <v>1404123466</v>
      </c>
      <c r="D6470">
        <v>-4072.82</v>
      </c>
    </row>
    <row r="6471" spans="1:4" hidden="1" x14ac:dyDescent="0.25">
      <c r="A6471" t="s">
        <v>675</v>
      </c>
      <c r="B6471" t="s">
        <v>81</v>
      </c>
      <c r="C6471" s="2">
        <f>HYPERLINK("https://sao.dolgi.msk.ru/account/1404123298/", 1404123298)</f>
        <v>1404123298</v>
      </c>
      <c r="D6471">
        <v>-6768.71</v>
      </c>
    </row>
    <row r="6472" spans="1:4" hidden="1" x14ac:dyDescent="0.25">
      <c r="A6472" t="s">
        <v>675</v>
      </c>
      <c r="B6472" t="s">
        <v>82</v>
      </c>
      <c r="C6472" s="2">
        <f>HYPERLINK("https://sao.dolgi.msk.ru/account/1404122455/", 1404122455)</f>
        <v>1404122455</v>
      </c>
      <c r="D6472">
        <v>-1965.24</v>
      </c>
    </row>
    <row r="6473" spans="1:4" hidden="1" x14ac:dyDescent="0.25">
      <c r="A6473" t="s">
        <v>675</v>
      </c>
      <c r="B6473" t="s">
        <v>83</v>
      </c>
      <c r="C6473" s="2">
        <f>HYPERLINK("https://sao.dolgi.msk.ru/account/1404122463/", 1404122463)</f>
        <v>1404122463</v>
      </c>
      <c r="D6473">
        <v>-4917.95</v>
      </c>
    </row>
    <row r="6474" spans="1:4" hidden="1" x14ac:dyDescent="0.25">
      <c r="A6474" t="s">
        <v>675</v>
      </c>
      <c r="B6474" t="s">
        <v>84</v>
      </c>
      <c r="C6474" s="2">
        <f>HYPERLINK("https://sao.dolgi.msk.ru/account/1404122471/", 1404122471)</f>
        <v>1404122471</v>
      </c>
      <c r="D6474">
        <v>-4898.2</v>
      </c>
    </row>
    <row r="6475" spans="1:4" x14ac:dyDescent="0.25">
      <c r="A6475" t="s">
        <v>675</v>
      </c>
      <c r="B6475" t="s">
        <v>85</v>
      </c>
      <c r="C6475" s="2">
        <f>HYPERLINK("https://sao.dolgi.msk.ru/account/1404122957/", 1404122957)</f>
        <v>1404122957</v>
      </c>
      <c r="D6475">
        <v>4935.2</v>
      </c>
    </row>
    <row r="6476" spans="1:4" hidden="1" x14ac:dyDescent="0.25">
      <c r="A6476" t="s">
        <v>675</v>
      </c>
      <c r="B6476" t="s">
        <v>86</v>
      </c>
      <c r="C6476" s="2">
        <f>HYPERLINK("https://sao.dolgi.msk.ru/account/1404122703/", 1404122703)</f>
        <v>1404122703</v>
      </c>
      <c r="D6476">
        <v>-649.98</v>
      </c>
    </row>
    <row r="6477" spans="1:4" hidden="1" x14ac:dyDescent="0.25">
      <c r="A6477" t="s">
        <v>675</v>
      </c>
      <c r="B6477" t="s">
        <v>87</v>
      </c>
      <c r="C6477" s="2">
        <f>HYPERLINK("https://sao.dolgi.msk.ru/account/1404123319/", 1404123319)</f>
        <v>1404123319</v>
      </c>
      <c r="D6477">
        <v>-3460.97</v>
      </c>
    </row>
    <row r="6478" spans="1:4" x14ac:dyDescent="0.25">
      <c r="A6478" t="s">
        <v>675</v>
      </c>
      <c r="B6478" t="s">
        <v>88</v>
      </c>
      <c r="C6478" s="2">
        <f>HYPERLINK("https://sao.dolgi.msk.ru/account/1404123669/", 1404123669)</f>
        <v>1404123669</v>
      </c>
      <c r="D6478">
        <v>5190.92</v>
      </c>
    </row>
    <row r="6479" spans="1:4" hidden="1" x14ac:dyDescent="0.25">
      <c r="A6479" t="s">
        <v>675</v>
      </c>
      <c r="B6479" t="s">
        <v>89</v>
      </c>
      <c r="C6479" s="2">
        <f>HYPERLINK("https://sao.dolgi.msk.ru/account/1404122711/", 1404122711)</f>
        <v>1404122711</v>
      </c>
      <c r="D6479">
        <v>-5171.2</v>
      </c>
    </row>
    <row r="6480" spans="1:4" hidden="1" x14ac:dyDescent="0.25">
      <c r="A6480" t="s">
        <v>675</v>
      </c>
      <c r="B6480" t="s">
        <v>90</v>
      </c>
      <c r="C6480" s="2">
        <f>HYPERLINK("https://sao.dolgi.msk.ru/account/1404122914/", 1404122914)</f>
        <v>1404122914</v>
      </c>
      <c r="D6480">
        <v>-882.48</v>
      </c>
    </row>
    <row r="6481" spans="1:4" hidden="1" x14ac:dyDescent="0.25">
      <c r="A6481" t="s">
        <v>675</v>
      </c>
      <c r="B6481" t="s">
        <v>91</v>
      </c>
      <c r="C6481" s="2">
        <f>HYPERLINK("https://sao.dolgi.msk.ru/account/1404122738/", 1404122738)</f>
        <v>1404122738</v>
      </c>
      <c r="D6481">
        <v>0</v>
      </c>
    </row>
    <row r="6482" spans="1:4" hidden="1" x14ac:dyDescent="0.25">
      <c r="A6482" t="s">
        <v>675</v>
      </c>
      <c r="B6482" t="s">
        <v>92</v>
      </c>
      <c r="C6482" s="2">
        <f>HYPERLINK("https://sao.dolgi.msk.ru/account/1404122762/", 1404122762)</f>
        <v>1404122762</v>
      </c>
      <c r="D6482">
        <v>-1863.27</v>
      </c>
    </row>
    <row r="6483" spans="1:4" hidden="1" x14ac:dyDescent="0.25">
      <c r="A6483" t="s">
        <v>675</v>
      </c>
      <c r="B6483" t="s">
        <v>92</v>
      </c>
      <c r="C6483" s="2">
        <f>HYPERLINK("https://sao.dolgi.msk.ru/account/1404122922/", 1404122922)</f>
        <v>1404122922</v>
      </c>
      <c r="D6483">
        <v>-2271.9299999999998</v>
      </c>
    </row>
    <row r="6484" spans="1:4" hidden="1" x14ac:dyDescent="0.25">
      <c r="A6484" t="s">
        <v>675</v>
      </c>
      <c r="B6484" t="s">
        <v>92</v>
      </c>
      <c r="C6484" s="2">
        <f>HYPERLINK("https://sao.dolgi.msk.ru/account/1404123896/", 1404123896)</f>
        <v>1404123896</v>
      </c>
      <c r="D6484">
        <v>-1948.79</v>
      </c>
    </row>
    <row r="6485" spans="1:4" hidden="1" x14ac:dyDescent="0.25">
      <c r="A6485" t="s">
        <v>675</v>
      </c>
      <c r="B6485" t="s">
        <v>93</v>
      </c>
      <c r="C6485" s="2">
        <f>HYPERLINK("https://sao.dolgi.msk.ru/account/1404123327/", 1404123327)</f>
        <v>1404123327</v>
      </c>
      <c r="D6485">
        <v>-3073.49</v>
      </c>
    </row>
    <row r="6486" spans="1:4" hidden="1" x14ac:dyDescent="0.25">
      <c r="A6486" t="s">
        <v>675</v>
      </c>
      <c r="B6486" t="s">
        <v>94</v>
      </c>
      <c r="C6486" s="2">
        <f>HYPERLINK("https://sao.dolgi.msk.ru/account/1404123116/", 1404123116)</f>
        <v>1404123116</v>
      </c>
      <c r="D6486">
        <v>-3248.11</v>
      </c>
    </row>
    <row r="6487" spans="1:4" hidden="1" x14ac:dyDescent="0.25">
      <c r="A6487" t="s">
        <v>675</v>
      </c>
      <c r="B6487" t="s">
        <v>95</v>
      </c>
      <c r="C6487" s="2">
        <f>HYPERLINK("https://sao.dolgi.msk.ru/account/1404123474/", 1404123474)</f>
        <v>1404123474</v>
      </c>
      <c r="D6487">
        <v>-292.43</v>
      </c>
    </row>
    <row r="6488" spans="1:4" hidden="1" x14ac:dyDescent="0.25">
      <c r="A6488" t="s">
        <v>675</v>
      </c>
      <c r="B6488" t="s">
        <v>96</v>
      </c>
      <c r="C6488" s="2">
        <f>HYPERLINK("https://sao.dolgi.msk.ru/account/1404122519/", 1404122519)</f>
        <v>1404122519</v>
      </c>
      <c r="D6488">
        <v>0</v>
      </c>
    </row>
    <row r="6489" spans="1:4" x14ac:dyDescent="0.25">
      <c r="A6489" t="s">
        <v>675</v>
      </c>
      <c r="B6489" t="s">
        <v>97</v>
      </c>
      <c r="C6489" s="2">
        <f>HYPERLINK("https://sao.dolgi.msk.ru/account/1404122746/", 1404122746)</f>
        <v>1404122746</v>
      </c>
      <c r="D6489">
        <v>5787.39</v>
      </c>
    </row>
    <row r="6490" spans="1:4" x14ac:dyDescent="0.25">
      <c r="A6490" t="s">
        <v>675</v>
      </c>
      <c r="B6490" t="s">
        <v>98</v>
      </c>
      <c r="C6490" s="2">
        <f>HYPERLINK("https://sao.dolgi.msk.ru/account/1404122754/", 1404122754)</f>
        <v>1404122754</v>
      </c>
      <c r="D6490">
        <v>3836.79</v>
      </c>
    </row>
    <row r="6491" spans="1:4" x14ac:dyDescent="0.25">
      <c r="A6491" t="s">
        <v>675</v>
      </c>
      <c r="B6491" t="s">
        <v>99</v>
      </c>
      <c r="C6491" s="2">
        <f>HYPERLINK("https://sao.dolgi.msk.ru/account/1404123124/", 1404123124)</f>
        <v>1404123124</v>
      </c>
      <c r="D6491">
        <v>2410.06</v>
      </c>
    </row>
    <row r="6492" spans="1:4" hidden="1" x14ac:dyDescent="0.25">
      <c r="A6492" t="s">
        <v>675</v>
      </c>
      <c r="B6492" t="s">
        <v>100</v>
      </c>
      <c r="C6492" s="2">
        <f>HYPERLINK("https://sao.dolgi.msk.ru/account/1404122949/", 1404122949)</f>
        <v>1404122949</v>
      </c>
      <c r="D6492">
        <v>-5839.78</v>
      </c>
    </row>
    <row r="6493" spans="1:4" hidden="1" x14ac:dyDescent="0.25">
      <c r="A6493" t="s">
        <v>675</v>
      </c>
      <c r="B6493" t="s">
        <v>101</v>
      </c>
      <c r="C6493" s="2">
        <f>HYPERLINK("https://sao.dolgi.msk.ru/account/1404123677/", 1404123677)</f>
        <v>1404123677</v>
      </c>
      <c r="D6493">
        <v>-6294.03</v>
      </c>
    </row>
    <row r="6494" spans="1:4" hidden="1" x14ac:dyDescent="0.25">
      <c r="A6494" t="s">
        <v>675</v>
      </c>
      <c r="B6494" t="s">
        <v>102</v>
      </c>
      <c r="C6494" s="2">
        <f>HYPERLINK("https://sao.dolgi.msk.ru/account/1404123685/", 1404123685)</f>
        <v>1404123685</v>
      </c>
      <c r="D6494">
        <v>-215.94</v>
      </c>
    </row>
    <row r="6495" spans="1:4" hidden="1" x14ac:dyDescent="0.25">
      <c r="A6495" t="s">
        <v>675</v>
      </c>
      <c r="B6495" t="s">
        <v>103</v>
      </c>
      <c r="C6495" s="2">
        <f>HYPERLINK("https://sao.dolgi.msk.ru/account/1404123335/", 1404123335)</f>
        <v>1404123335</v>
      </c>
      <c r="D6495">
        <v>-1381.52</v>
      </c>
    </row>
    <row r="6496" spans="1:4" hidden="1" x14ac:dyDescent="0.25">
      <c r="A6496" t="s">
        <v>675</v>
      </c>
      <c r="B6496" t="s">
        <v>103</v>
      </c>
      <c r="C6496" s="2">
        <f>HYPERLINK("https://sao.dolgi.msk.ru/account/1404123861/", 1404123861)</f>
        <v>1404123861</v>
      </c>
      <c r="D6496">
        <v>-2521.91</v>
      </c>
    </row>
    <row r="6497" spans="1:4" hidden="1" x14ac:dyDescent="0.25">
      <c r="A6497" t="s">
        <v>675</v>
      </c>
      <c r="B6497" t="s">
        <v>104</v>
      </c>
      <c r="C6497" s="2">
        <f>HYPERLINK("https://sao.dolgi.msk.ru/account/1404122973/", 1404122973)</f>
        <v>1404122973</v>
      </c>
      <c r="D6497">
        <v>-3369.84</v>
      </c>
    </row>
    <row r="6498" spans="1:4" hidden="1" x14ac:dyDescent="0.25">
      <c r="A6498" t="s">
        <v>675</v>
      </c>
      <c r="B6498" t="s">
        <v>105</v>
      </c>
      <c r="C6498" s="2">
        <f>HYPERLINK("https://sao.dolgi.msk.ru/account/1404123132/", 1404123132)</f>
        <v>1404123132</v>
      </c>
      <c r="D6498">
        <v>-4339.67</v>
      </c>
    </row>
    <row r="6499" spans="1:4" hidden="1" x14ac:dyDescent="0.25">
      <c r="A6499" t="s">
        <v>675</v>
      </c>
      <c r="B6499" t="s">
        <v>106</v>
      </c>
      <c r="C6499" s="2">
        <f>HYPERLINK("https://sao.dolgi.msk.ru/account/1404123511/", 1404123511)</f>
        <v>1404123511</v>
      </c>
      <c r="D6499">
        <v>0</v>
      </c>
    </row>
    <row r="6500" spans="1:4" x14ac:dyDescent="0.25">
      <c r="A6500" t="s">
        <v>675</v>
      </c>
      <c r="B6500" t="s">
        <v>107</v>
      </c>
      <c r="C6500" s="2">
        <f>HYPERLINK("https://sao.dolgi.msk.ru/account/1404122981/", 1404122981)</f>
        <v>1404122981</v>
      </c>
      <c r="D6500">
        <v>4145.7</v>
      </c>
    </row>
    <row r="6501" spans="1:4" hidden="1" x14ac:dyDescent="0.25">
      <c r="A6501" t="s">
        <v>675</v>
      </c>
      <c r="B6501" t="s">
        <v>108</v>
      </c>
      <c r="C6501" s="2">
        <f>HYPERLINK("https://sao.dolgi.msk.ru/account/1404123351/", 1404123351)</f>
        <v>1404123351</v>
      </c>
      <c r="D6501">
        <v>-3093.66</v>
      </c>
    </row>
    <row r="6502" spans="1:4" hidden="1" x14ac:dyDescent="0.25">
      <c r="A6502" t="s">
        <v>675</v>
      </c>
      <c r="B6502" t="s">
        <v>109</v>
      </c>
      <c r="C6502" s="2">
        <f>HYPERLINK("https://sao.dolgi.msk.ru/account/1404123378/", 1404123378)</f>
        <v>1404123378</v>
      </c>
      <c r="D6502">
        <v>-5469.43</v>
      </c>
    </row>
    <row r="6503" spans="1:4" hidden="1" x14ac:dyDescent="0.25">
      <c r="A6503" t="s">
        <v>675</v>
      </c>
      <c r="B6503" t="s">
        <v>110</v>
      </c>
      <c r="C6503" s="2">
        <f>HYPERLINK("https://sao.dolgi.msk.ru/account/1404123538/", 1404123538)</f>
        <v>1404123538</v>
      </c>
      <c r="D6503">
        <v>-3340.73</v>
      </c>
    </row>
    <row r="6504" spans="1:4" hidden="1" x14ac:dyDescent="0.25">
      <c r="A6504" t="s">
        <v>675</v>
      </c>
      <c r="B6504" t="s">
        <v>111</v>
      </c>
      <c r="C6504" s="2">
        <f>HYPERLINK("https://sao.dolgi.msk.ru/account/1404123706/", 1404123706)</f>
        <v>1404123706</v>
      </c>
      <c r="D6504">
        <v>-4922.29</v>
      </c>
    </row>
    <row r="6505" spans="1:4" hidden="1" x14ac:dyDescent="0.25">
      <c r="A6505" t="s">
        <v>675</v>
      </c>
      <c r="B6505" t="s">
        <v>112</v>
      </c>
      <c r="C6505" s="2">
        <f>HYPERLINK("https://sao.dolgi.msk.ru/account/1404123546/", 1404123546)</f>
        <v>1404123546</v>
      </c>
      <c r="D6505">
        <v>-3930.8</v>
      </c>
    </row>
    <row r="6506" spans="1:4" hidden="1" x14ac:dyDescent="0.25">
      <c r="A6506" t="s">
        <v>675</v>
      </c>
      <c r="B6506" t="s">
        <v>113</v>
      </c>
      <c r="C6506" s="2">
        <f>HYPERLINK("https://sao.dolgi.msk.ru/account/1404122527/", 1404122527)</f>
        <v>1404122527</v>
      </c>
      <c r="D6506">
        <v>-5943.03</v>
      </c>
    </row>
    <row r="6507" spans="1:4" hidden="1" x14ac:dyDescent="0.25">
      <c r="A6507" t="s">
        <v>675</v>
      </c>
      <c r="B6507" t="s">
        <v>114</v>
      </c>
      <c r="C6507" s="2">
        <f>HYPERLINK("https://sao.dolgi.msk.ru/account/1404122789/", 1404122789)</f>
        <v>1404122789</v>
      </c>
      <c r="D6507">
        <v>-5221.8900000000003</v>
      </c>
    </row>
    <row r="6508" spans="1:4" hidden="1" x14ac:dyDescent="0.25">
      <c r="A6508" t="s">
        <v>675</v>
      </c>
      <c r="B6508" t="s">
        <v>115</v>
      </c>
      <c r="C6508" s="2">
        <f>HYPERLINK("https://sao.dolgi.msk.ru/account/1404122535/", 1404122535)</f>
        <v>1404122535</v>
      </c>
      <c r="D6508">
        <v>0</v>
      </c>
    </row>
    <row r="6509" spans="1:4" x14ac:dyDescent="0.25">
      <c r="A6509" t="s">
        <v>675</v>
      </c>
      <c r="B6509" t="s">
        <v>116</v>
      </c>
      <c r="C6509" s="2">
        <f>HYPERLINK("https://sao.dolgi.msk.ru/account/1404123714/", 1404123714)</f>
        <v>1404123714</v>
      </c>
      <c r="D6509">
        <v>8461.2800000000007</v>
      </c>
    </row>
    <row r="6510" spans="1:4" hidden="1" x14ac:dyDescent="0.25">
      <c r="A6510" t="s">
        <v>675</v>
      </c>
      <c r="B6510" t="s">
        <v>117</v>
      </c>
      <c r="C6510" s="2">
        <f>HYPERLINK("https://sao.dolgi.msk.ru/account/1404123722/", 1404123722)</f>
        <v>1404123722</v>
      </c>
      <c r="D6510">
        <v>-5556.34</v>
      </c>
    </row>
    <row r="6511" spans="1:4" hidden="1" x14ac:dyDescent="0.25">
      <c r="A6511" t="s">
        <v>675</v>
      </c>
      <c r="B6511" t="s">
        <v>118</v>
      </c>
      <c r="C6511" s="2">
        <f>HYPERLINK("https://sao.dolgi.msk.ru/account/1404122543/", 1404122543)</f>
        <v>1404122543</v>
      </c>
      <c r="D6511">
        <v>-1130.0899999999999</v>
      </c>
    </row>
    <row r="6512" spans="1:4" hidden="1" x14ac:dyDescent="0.25">
      <c r="A6512" t="s">
        <v>675</v>
      </c>
      <c r="B6512" t="s">
        <v>119</v>
      </c>
      <c r="C6512" s="2">
        <f>HYPERLINK("https://sao.dolgi.msk.ru/account/1404123159/", 1404123159)</f>
        <v>1404123159</v>
      </c>
      <c r="D6512">
        <v>-5245.27</v>
      </c>
    </row>
    <row r="6513" spans="1:4" hidden="1" x14ac:dyDescent="0.25">
      <c r="A6513" t="s">
        <v>675</v>
      </c>
      <c r="B6513" t="s">
        <v>120</v>
      </c>
      <c r="C6513" s="2">
        <f>HYPERLINK("https://sao.dolgi.msk.ru/account/1404123386/", 1404123386)</f>
        <v>1404123386</v>
      </c>
      <c r="D6513">
        <v>-3630.06</v>
      </c>
    </row>
    <row r="6514" spans="1:4" x14ac:dyDescent="0.25">
      <c r="A6514" t="s">
        <v>676</v>
      </c>
      <c r="B6514" t="s">
        <v>5</v>
      </c>
      <c r="C6514" s="2">
        <f>HYPERLINK("https://sao.dolgi.msk.ru/account/1404124266/", 1404124266)</f>
        <v>1404124266</v>
      </c>
      <c r="D6514">
        <v>6758.65</v>
      </c>
    </row>
    <row r="6515" spans="1:4" hidden="1" x14ac:dyDescent="0.25">
      <c r="A6515" t="s">
        <v>676</v>
      </c>
      <c r="B6515" t="s">
        <v>6</v>
      </c>
      <c r="C6515" s="2">
        <f>HYPERLINK("https://sao.dolgi.msk.ru/account/1404123909/", 1404123909)</f>
        <v>1404123909</v>
      </c>
      <c r="D6515">
        <v>-4916.26</v>
      </c>
    </row>
    <row r="6516" spans="1:4" x14ac:dyDescent="0.25">
      <c r="A6516" t="s">
        <v>676</v>
      </c>
      <c r="B6516" t="s">
        <v>7</v>
      </c>
      <c r="C6516" s="2">
        <f>HYPERLINK("https://sao.dolgi.msk.ru/account/1404123917/", 1404123917)</f>
        <v>1404123917</v>
      </c>
      <c r="D6516">
        <v>66484.19</v>
      </c>
    </row>
    <row r="6517" spans="1:4" hidden="1" x14ac:dyDescent="0.25">
      <c r="A6517" t="s">
        <v>676</v>
      </c>
      <c r="B6517" t="s">
        <v>8</v>
      </c>
      <c r="C6517" s="2">
        <f>HYPERLINK("https://sao.dolgi.msk.ru/account/1404124696/", 1404124696)</f>
        <v>1404124696</v>
      </c>
      <c r="D6517">
        <v>0</v>
      </c>
    </row>
    <row r="6518" spans="1:4" hidden="1" x14ac:dyDescent="0.25">
      <c r="A6518" t="s">
        <v>676</v>
      </c>
      <c r="B6518" t="s">
        <v>9</v>
      </c>
      <c r="C6518" s="2">
        <f>HYPERLINK("https://sao.dolgi.msk.ru/account/1404124733/", 1404124733)</f>
        <v>1404124733</v>
      </c>
      <c r="D6518">
        <v>-5438.4</v>
      </c>
    </row>
    <row r="6519" spans="1:4" hidden="1" x14ac:dyDescent="0.25">
      <c r="A6519" t="s">
        <v>676</v>
      </c>
      <c r="B6519" t="s">
        <v>10</v>
      </c>
      <c r="C6519" s="2">
        <f>HYPERLINK("https://sao.dolgi.msk.ru/account/1404124768/", 1404124768)</f>
        <v>1404124768</v>
      </c>
      <c r="D6519">
        <v>0</v>
      </c>
    </row>
    <row r="6520" spans="1:4" hidden="1" x14ac:dyDescent="0.25">
      <c r="A6520" t="s">
        <v>676</v>
      </c>
      <c r="B6520" t="s">
        <v>11</v>
      </c>
      <c r="C6520" s="2">
        <f>HYPERLINK("https://sao.dolgi.msk.ru/account/1404124223/", 1404124223)</f>
        <v>1404124223</v>
      </c>
      <c r="D6520">
        <v>-4096.32</v>
      </c>
    </row>
    <row r="6521" spans="1:4" hidden="1" x14ac:dyDescent="0.25">
      <c r="A6521" t="s">
        <v>676</v>
      </c>
      <c r="B6521" t="s">
        <v>12</v>
      </c>
      <c r="C6521" s="2">
        <f>HYPERLINK("https://sao.dolgi.msk.ru/account/1404125162/", 1404125162)</f>
        <v>1404125162</v>
      </c>
      <c r="D6521">
        <v>-4167.41</v>
      </c>
    </row>
    <row r="6522" spans="1:4" x14ac:dyDescent="0.25">
      <c r="A6522" t="s">
        <v>676</v>
      </c>
      <c r="B6522" t="s">
        <v>13</v>
      </c>
      <c r="C6522" s="2">
        <f>HYPERLINK("https://sao.dolgi.msk.ru/account/1404124813/", 1404124813)</f>
        <v>1404124813</v>
      </c>
      <c r="D6522">
        <v>30459.11</v>
      </c>
    </row>
    <row r="6523" spans="1:4" x14ac:dyDescent="0.25">
      <c r="A6523" t="s">
        <v>676</v>
      </c>
      <c r="B6523" t="s">
        <v>14</v>
      </c>
      <c r="C6523" s="2">
        <f>HYPERLINK("https://sao.dolgi.msk.ru/account/1404124442/", 1404124442)</f>
        <v>1404124442</v>
      </c>
      <c r="D6523">
        <v>11165.03</v>
      </c>
    </row>
    <row r="6524" spans="1:4" hidden="1" x14ac:dyDescent="0.25">
      <c r="A6524" t="s">
        <v>676</v>
      </c>
      <c r="B6524" t="s">
        <v>15</v>
      </c>
      <c r="C6524" s="2">
        <f>HYPERLINK("https://sao.dolgi.msk.ru/account/1404124477/", 1404124477)</f>
        <v>1404124477</v>
      </c>
      <c r="D6524">
        <v>0</v>
      </c>
    </row>
    <row r="6525" spans="1:4" hidden="1" x14ac:dyDescent="0.25">
      <c r="A6525" t="s">
        <v>676</v>
      </c>
      <c r="B6525" t="s">
        <v>16</v>
      </c>
      <c r="C6525" s="2">
        <f>HYPERLINK("https://sao.dolgi.msk.ru/account/1404124485/", 1404124485)</f>
        <v>1404124485</v>
      </c>
      <c r="D6525">
        <v>-3313.28</v>
      </c>
    </row>
    <row r="6526" spans="1:4" x14ac:dyDescent="0.25">
      <c r="A6526" t="s">
        <v>676</v>
      </c>
      <c r="B6526" t="s">
        <v>17</v>
      </c>
      <c r="C6526" s="2">
        <f>HYPERLINK("https://sao.dolgi.msk.ru/account/1404124653/", 1404124653)</f>
        <v>1404124653</v>
      </c>
      <c r="D6526">
        <v>10696.72</v>
      </c>
    </row>
    <row r="6527" spans="1:4" x14ac:dyDescent="0.25">
      <c r="A6527" t="s">
        <v>676</v>
      </c>
      <c r="B6527" t="s">
        <v>18</v>
      </c>
      <c r="C6527" s="2">
        <f>HYPERLINK("https://sao.dolgi.msk.ru/account/1404124135/", 1404124135)</f>
        <v>1404124135</v>
      </c>
      <c r="D6527">
        <v>4037.77</v>
      </c>
    </row>
    <row r="6528" spans="1:4" hidden="1" x14ac:dyDescent="0.25">
      <c r="A6528" t="s">
        <v>676</v>
      </c>
      <c r="B6528" t="s">
        <v>19</v>
      </c>
      <c r="C6528" s="2">
        <f>HYPERLINK("https://sao.dolgi.msk.ru/account/1404125031/", 1404125031)</f>
        <v>1404125031</v>
      </c>
      <c r="D6528">
        <v>-46.54</v>
      </c>
    </row>
    <row r="6529" spans="1:4" hidden="1" x14ac:dyDescent="0.25">
      <c r="A6529" t="s">
        <v>676</v>
      </c>
      <c r="B6529" t="s">
        <v>20</v>
      </c>
      <c r="C6529" s="2">
        <f>HYPERLINK("https://sao.dolgi.msk.ru/account/1404124282/", 1404124282)</f>
        <v>1404124282</v>
      </c>
      <c r="D6529">
        <v>0</v>
      </c>
    </row>
    <row r="6530" spans="1:4" hidden="1" x14ac:dyDescent="0.25">
      <c r="A6530" t="s">
        <v>676</v>
      </c>
      <c r="B6530" t="s">
        <v>21</v>
      </c>
      <c r="C6530" s="2">
        <f>HYPERLINK("https://sao.dolgi.msk.ru/account/1404124303/", 1404124303)</f>
        <v>1404124303</v>
      </c>
      <c r="D6530">
        <v>-7632.76</v>
      </c>
    </row>
    <row r="6531" spans="1:4" hidden="1" x14ac:dyDescent="0.25">
      <c r="A6531" t="s">
        <v>676</v>
      </c>
      <c r="B6531" t="s">
        <v>22</v>
      </c>
      <c r="C6531" s="2">
        <f>HYPERLINK("https://sao.dolgi.msk.ru/account/1404124143/", 1404124143)</f>
        <v>1404124143</v>
      </c>
      <c r="D6531">
        <v>-11628.28</v>
      </c>
    </row>
    <row r="6532" spans="1:4" x14ac:dyDescent="0.25">
      <c r="A6532" t="s">
        <v>676</v>
      </c>
      <c r="B6532" t="s">
        <v>23</v>
      </c>
      <c r="C6532" s="2">
        <f>HYPERLINK("https://sao.dolgi.msk.ru/account/1404124012/", 1404124012)</f>
        <v>1404124012</v>
      </c>
      <c r="D6532">
        <v>287874.53999999998</v>
      </c>
    </row>
    <row r="6533" spans="1:4" x14ac:dyDescent="0.25">
      <c r="A6533" t="s">
        <v>676</v>
      </c>
      <c r="B6533" t="s">
        <v>24</v>
      </c>
      <c r="C6533" s="2">
        <f>HYPERLINK("https://sao.dolgi.msk.ru/account/1404124151/", 1404124151)</f>
        <v>1404124151</v>
      </c>
      <c r="D6533">
        <v>6476.12</v>
      </c>
    </row>
    <row r="6534" spans="1:4" hidden="1" x14ac:dyDescent="0.25">
      <c r="A6534" t="s">
        <v>676</v>
      </c>
      <c r="B6534" t="s">
        <v>25</v>
      </c>
      <c r="C6534" s="2">
        <f>HYPERLINK("https://sao.dolgi.msk.ru/account/1404124661/", 1404124661)</f>
        <v>1404124661</v>
      </c>
      <c r="D6534">
        <v>-3353.96</v>
      </c>
    </row>
    <row r="6535" spans="1:4" x14ac:dyDescent="0.25">
      <c r="A6535" t="s">
        <v>676</v>
      </c>
      <c r="B6535" t="s">
        <v>26</v>
      </c>
      <c r="C6535" s="2">
        <f>HYPERLINK("https://sao.dolgi.msk.ru/account/1404124178/", 1404124178)</f>
        <v>1404124178</v>
      </c>
      <c r="D6535">
        <v>7256.34</v>
      </c>
    </row>
    <row r="6536" spans="1:4" hidden="1" x14ac:dyDescent="0.25">
      <c r="A6536" t="s">
        <v>676</v>
      </c>
      <c r="B6536" t="s">
        <v>27</v>
      </c>
      <c r="C6536" s="2">
        <f>HYPERLINK("https://sao.dolgi.msk.ru/account/1404124688/", 1404124688)</f>
        <v>1404124688</v>
      </c>
      <c r="D6536">
        <v>-4635.33</v>
      </c>
    </row>
    <row r="6537" spans="1:4" x14ac:dyDescent="0.25">
      <c r="A6537" t="s">
        <v>676</v>
      </c>
      <c r="B6537" t="s">
        <v>28</v>
      </c>
      <c r="C6537" s="2">
        <f>HYPERLINK("https://sao.dolgi.msk.ru/account/1404124864/", 1404124864)</f>
        <v>1404124864</v>
      </c>
      <c r="D6537">
        <v>3699.78</v>
      </c>
    </row>
    <row r="6538" spans="1:4" hidden="1" x14ac:dyDescent="0.25">
      <c r="A6538" t="s">
        <v>676</v>
      </c>
      <c r="B6538" t="s">
        <v>29</v>
      </c>
      <c r="C6538" s="2">
        <f>HYPERLINK("https://sao.dolgi.msk.ru/account/1404124186/", 1404124186)</f>
        <v>1404124186</v>
      </c>
      <c r="D6538">
        <v>-6569.43</v>
      </c>
    </row>
    <row r="6539" spans="1:4" hidden="1" x14ac:dyDescent="0.25">
      <c r="A6539" t="s">
        <v>676</v>
      </c>
      <c r="B6539" t="s">
        <v>30</v>
      </c>
      <c r="C6539" s="2">
        <f>HYPERLINK("https://sao.dolgi.msk.ru/account/1404125058/", 1404125058)</f>
        <v>1404125058</v>
      </c>
      <c r="D6539">
        <v>-4636.47</v>
      </c>
    </row>
    <row r="6540" spans="1:4" hidden="1" x14ac:dyDescent="0.25">
      <c r="A6540" t="s">
        <v>676</v>
      </c>
      <c r="B6540" t="s">
        <v>31</v>
      </c>
      <c r="C6540" s="2">
        <f>HYPERLINK("https://sao.dolgi.msk.ru/account/1404124872/", 1404124872)</f>
        <v>1404124872</v>
      </c>
      <c r="D6540">
        <v>0</v>
      </c>
    </row>
    <row r="6541" spans="1:4" hidden="1" x14ac:dyDescent="0.25">
      <c r="A6541" t="s">
        <v>676</v>
      </c>
      <c r="B6541" t="s">
        <v>32</v>
      </c>
      <c r="C6541" s="2">
        <f>HYPERLINK("https://sao.dolgi.msk.ru/account/1404124194/", 1404124194)</f>
        <v>1404124194</v>
      </c>
      <c r="D6541">
        <v>-2475.5300000000002</v>
      </c>
    </row>
    <row r="6542" spans="1:4" hidden="1" x14ac:dyDescent="0.25">
      <c r="A6542" t="s">
        <v>676</v>
      </c>
      <c r="B6542" t="s">
        <v>33</v>
      </c>
      <c r="C6542" s="2">
        <f>HYPERLINK("https://sao.dolgi.msk.ru/account/1404124899/", 1404124899)</f>
        <v>1404124899</v>
      </c>
      <c r="D6542">
        <v>-5731.14</v>
      </c>
    </row>
    <row r="6543" spans="1:4" hidden="1" x14ac:dyDescent="0.25">
      <c r="A6543" t="s">
        <v>676</v>
      </c>
      <c r="B6543" t="s">
        <v>34</v>
      </c>
      <c r="C6543" s="2">
        <f>HYPERLINK("https://sao.dolgi.msk.ru/account/1404124311/", 1404124311)</f>
        <v>1404124311</v>
      </c>
      <c r="D6543">
        <v>-3031.15</v>
      </c>
    </row>
    <row r="6544" spans="1:4" hidden="1" x14ac:dyDescent="0.25">
      <c r="A6544" t="s">
        <v>676</v>
      </c>
      <c r="B6544" t="s">
        <v>35</v>
      </c>
      <c r="C6544" s="2">
        <f>HYPERLINK("https://sao.dolgi.msk.ru/account/1404124338/", 1404124338)</f>
        <v>1404124338</v>
      </c>
      <c r="D6544">
        <v>-4409.68</v>
      </c>
    </row>
    <row r="6545" spans="1:4" hidden="1" x14ac:dyDescent="0.25">
      <c r="A6545" t="s">
        <v>676</v>
      </c>
      <c r="B6545" t="s">
        <v>36</v>
      </c>
      <c r="C6545" s="2">
        <f>HYPERLINK("https://sao.dolgi.msk.ru/account/1404124901/", 1404124901)</f>
        <v>1404124901</v>
      </c>
      <c r="D6545">
        <v>-3208.58</v>
      </c>
    </row>
    <row r="6546" spans="1:4" hidden="1" x14ac:dyDescent="0.25">
      <c r="A6546" t="s">
        <v>676</v>
      </c>
      <c r="B6546" t="s">
        <v>37</v>
      </c>
      <c r="C6546" s="2">
        <f>HYPERLINK("https://sao.dolgi.msk.ru/account/1404124928/", 1404124928)</f>
        <v>1404124928</v>
      </c>
      <c r="D6546">
        <v>-3275.72</v>
      </c>
    </row>
    <row r="6547" spans="1:4" hidden="1" x14ac:dyDescent="0.25">
      <c r="A6547" t="s">
        <v>676</v>
      </c>
      <c r="B6547" t="s">
        <v>38</v>
      </c>
      <c r="C6547" s="2">
        <f>HYPERLINK("https://sao.dolgi.msk.ru/account/1404124493/", 1404124493)</f>
        <v>1404124493</v>
      </c>
      <c r="D6547">
        <v>-7683.71</v>
      </c>
    </row>
    <row r="6548" spans="1:4" hidden="1" x14ac:dyDescent="0.25">
      <c r="A6548" t="s">
        <v>676</v>
      </c>
      <c r="B6548" t="s">
        <v>39</v>
      </c>
      <c r="C6548" s="2">
        <f>HYPERLINK("https://sao.dolgi.msk.ru/account/1404124506/", 1404124506)</f>
        <v>1404124506</v>
      </c>
      <c r="D6548">
        <v>-9581.35</v>
      </c>
    </row>
    <row r="6549" spans="1:4" hidden="1" x14ac:dyDescent="0.25">
      <c r="A6549" t="s">
        <v>676</v>
      </c>
      <c r="B6549" t="s">
        <v>40</v>
      </c>
      <c r="C6549" s="2">
        <f>HYPERLINK("https://sao.dolgi.msk.ru/account/1404124514/", 1404124514)</f>
        <v>1404124514</v>
      </c>
      <c r="D6549">
        <v>-4069.63</v>
      </c>
    </row>
    <row r="6550" spans="1:4" hidden="1" x14ac:dyDescent="0.25">
      <c r="A6550" t="s">
        <v>676</v>
      </c>
      <c r="B6550" t="s">
        <v>41</v>
      </c>
      <c r="C6550" s="2">
        <f>HYPERLINK("https://sao.dolgi.msk.ru/account/1404125066/", 1404125066)</f>
        <v>1404125066</v>
      </c>
      <c r="D6550">
        <v>-5921.08</v>
      </c>
    </row>
    <row r="6551" spans="1:4" hidden="1" x14ac:dyDescent="0.25">
      <c r="A6551" t="s">
        <v>676</v>
      </c>
      <c r="B6551" t="s">
        <v>42</v>
      </c>
      <c r="C6551" s="2">
        <f>HYPERLINK("https://sao.dolgi.msk.ru/account/1404124039/", 1404124039)</f>
        <v>1404124039</v>
      </c>
      <c r="D6551">
        <v>-4059.85</v>
      </c>
    </row>
    <row r="6552" spans="1:4" hidden="1" x14ac:dyDescent="0.25">
      <c r="A6552" t="s">
        <v>676</v>
      </c>
      <c r="B6552" t="s">
        <v>43</v>
      </c>
      <c r="C6552" s="2">
        <f>HYPERLINK("https://sao.dolgi.msk.ru/account/1404124346/", 1404124346)</f>
        <v>1404124346</v>
      </c>
      <c r="D6552">
        <v>-7584.53</v>
      </c>
    </row>
    <row r="6553" spans="1:4" hidden="1" x14ac:dyDescent="0.25">
      <c r="A6553" t="s">
        <v>676</v>
      </c>
      <c r="B6553" t="s">
        <v>44</v>
      </c>
      <c r="C6553" s="2">
        <f>HYPERLINK("https://sao.dolgi.msk.ru/account/1404124047/", 1404124047)</f>
        <v>1404124047</v>
      </c>
      <c r="D6553">
        <v>0</v>
      </c>
    </row>
    <row r="6554" spans="1:4" hidden="1" x14ac:dyDescent="0.25">
      <c r="A6554" t="s">
        <v>676</v>
      </c>
      <c r="B6554" t="s">
        <v>45</v>
      </c>
      <c r="C6554" s="2">
        <f>HYPERLINK("https://sao.dolgi.msk.ru/account/1404124522/", 1404124522)</f>
        <v>1404124522</v>
      </c>
      <c r="D6554">
        <v>-5043.6400000000003</v>
      </c>
    </row>
    <row r="6555" spans="1:4" hidden="1" x14ac:dyDescent="0.25">
      <c r="A6555" t="s">
        <v>676</v>
      </c>
      <c r="B6555" t="s">
        <v>46</v>
      </c>
      <c r="C6555" s="2">
        <f>HYPERLINK("https://sao.dolgi.msk.ru/account/1404124207/", 1404124207)</f>
        <v>1404124207</v>
      </c>
      <c r="D6555">
        <v>-7630.56</v>
      </c>
    </row>
    <row r="6556" spans="1:4" hidden="1" x14ac:dyDescent="0.25">
      <c r="A6556" t="s">
        <v>676</v>
      </c>
      <c r="B6556" t="s">
        <v>47</v>
      </c>
      <c r="C6556" s="2">
        <f>HYPERLINK("https://sao.dolgi.msk.ru/account/1404124709/", 1404124709)</f>
        <v>1404124709</v>
      </c>
      <c r="D6556">
        <v>-2620.62</v>
      </c>
    </row>
    <row r="6557" spans="1:4" hidden="1" x14ac:dyDescent="0.25">
      <c r="A6557" t="s">
        <v>676</v>
      </c>
      <c r="B6557" t="s">
        <v>48</v>
      </c>
      <c r="C6557" s="2">
        <f>HYPERLINK("https://sao.dolgi.msk.ru/account/1404125074/", 1404125074)</f>
        <v>1404125074</v>
      </c>
      <c r="D6557">
        <v>-4929.96</v>
      </c>
    </row>
    <row r="6558" spans="1:4" hidden="1" x14ac:dyDescent="0.25">
      <c r="A6558" t="s">
        <v>676</v>
      </c>
      <c r="B6558" t="s">
        <v>49</v>
      </c>
      <c r="C6558" s="2">
        <f>HYPERLINK("https://sao.dolgi.msk.ru/account/1404124055/", 1404124055)</f>
        <v>1404124055</v>
      </c>
      <c r="D6558">
        <v>-2509.59</v>
      </c>
    </row>
    <row r="6559" spans="1:4" hidden="1" x14ac:dyDescent="0.25">
      <c r="A6559" t="s">
        <v>676</v>
      </c>
      <c r="B6559" t="s">
        <v>50</v>
      </c>
      <c r="C6559" s="2">
        <f>HYPERLINK("https://sao.dolgi.msk.ru/account/1404124717/", 1404124717)</f>
        <v>1404124717</v>
      </c>
      <c r="D6559">
        <v>-46.88</v>
      </c>
    </row>
    <row r="6560" spans="1:4" hidden="1" x14ac:dyDescent="0.25">
      <c r="A6560" t="s">
        <v>676</v>
      </c>
      <c r="B6560" t="s">
        <v>51</v>
      </c>
      <c r="C6560" s="2">
        <f>HYPERLINK("https://sao.dolgi.msk.ru/account/1404124936/", 1404124936)</f>
        <v>1404124936</v>
      </c>
      <c r="D6560">
        <v>-6947.33</v>
      </c>
    </row>
    <row r="6561" spans="1:4" hidden="1" x14ac:dyDescent="0.25">
      <c r="A6561" t="s">
        <v>676</v>
      </c>
      <c r="B6561" t="s">
        <v>52</v>
      </c>
      <c r="C6561" s="2">
        <f>HYPERLINK("https://sao.dolgi.msk.ru/account/1404123925/", 1404123925)</f>
        <v>1404123925</v>
      </c>
      <c r="D6561">
        <v>-2765.92</v>
      </c>
    </row>
    <row r="6562" spans="1:4" hidden="1" x14ac:dyDescent="0.25">
      <c r="A6562" t="s">
        <v>676</v>
      </c>
      <c r="B6562" t="s">
        <v>53</v>
      </c>
      <c r="C6562" s="2">
        <f>HYPERLINK("https://sao.dolgi.msk.ru/account/1404124725/", 1404124725)</f>
        <v>1404124725</v>
      </c>
      <c r="D6562">
        <v>-2353.1</v>
      </c>
    </row>
    <row r="6563" spans="1:4" hidden="1" x14ac:dyDescent="0.25">
      <c r="A6563" t="s">
        <v>676</v>
      </c>
      <c r="B6563" t="s">
        <v>54</v>
      </c>
      <c r="C6563" s="2">
        <f>HYPERLINK("https://sao.dolgi.msk.ru/account/1404124354/", 1404124354)</f>
        <v>1404124354</v>
      </c>
      <c r="D6563">
        <v>-5748.18</v>
      </c>
    </row>
    <row r="6564" spans="1:4" hidden="1" x14ac:dyDescent="0.25">
      <c r="A6564" t="s">
        <v>676</v>
      </c>
      <c r="B6564" t="s">
        <v>55</v>
      </c>
      <c r="C6564" s="2">
        <f>HYPERLINK("https://sao.dolgi.msk.ru/account/1404123933/", 1404123933)</f>
        <v>1404123933</v>
      </c>
      <c r="D6564">
        <v>-6940.65</v>
      </c>
    </row>
    <row r="6565" spans="1:4" hidden="1" x14ac:dyDescent="0.25">
      <c r="A6565" t="s">
        <v>676</v>
      </c>
      <c r="B6565" t="s">
        <v>56</v>
      </c>
      <c r="C6565" s="2">
        <f>HYPERLINK("https://sao.dolgi.msk.ru/account/1404125082/", 1404125082)</f>
        <v>1404125082</v>
      </c>
      <c r="D6565">
        <v>-5244.2</v>
      </c>
    </row>
    <row r="6566" spans="1:4" hidden="1" x14ac:dyDescent="0.25">
      <c r="A6566" t="s">
        <v>676</v>
      </c>
      <c r="B6566" t="s">
        <v>57</v>
      </c>
      <c r="C6566" s="2">
        <f>HYPERLINK("https://sao.dolgi.msk.ru/account/1404123941/", 1404123941)</f>
        <v>1404123941</v>
      </c>
      <c r="D6566">
        <v>-4307.8599999999997</v>
      </c>
    </row>
    <row r="6567" spans="1:4" hidden="1" x14ac:dyDescent="0.25">
      <c r="A6567" t="s">
        <v>676</v>
      </c>
      <c r="B6567" t="s">
        <v>58</v>
      </c>
      <c r="C6567" s="2">
        <f>HYPERLINK("https://sao.dolgi.msk.ru/account/1404124549/", 1404124549)</f>
        <v>1404124549</v>
      </c>
      <c r="D6567">
        <v>0</v>
      </c>
    </row>
    <row r="6568" spans="1:4" hidden="1" x14ac:dyDescent="0.25">
      <c r="A6568" t="s">
        <v>676</v>
      </c>
      <c r="B6568" t="s">
        <v>59</v>
      </c>
      <c r="C6568" s="2">
        <f>HYPERLINK("https://sao.dolgi.msk.ru/account/1404125103/", 1404125103)</f>
        <v>1404125103</v>
      </c>
      <c r="D6568">
        <v>-7646.57</v>
      </c>
    </row>
    <row r="6569" spans="1:4" hidden="1" x14ac:dyDescent="0.25">
      <c r="A6569" t="s">
        <v>676</v>
      </c>
      <c r="B6569" t="s">
        <v>60</v>
      </c>
      <c r="C6569" s="2">
        <f>HYPERLINK("https://sao.dolgi.msk.ru/account/1404124557/", 1404124557)</f>
        <v>1404124557</v>
      </c>
      <c r="D6569">
        <v>-6455.11</v>
      </c>
    </row>
    <row r="6570" spans="1:4" hidden="1" x14ac:dyDescent="0.25">
      <c r="A6570" t="s">
        <v>676</v>
      </c>
      <c r="B6570" t="s">
        <v>61</v>
      </c>
      <c r="C6570" s="2">
        <f>HYPERLINK("https://sao.dolgi.msk.ru/account/1404124215/", 1404124215)</f>
        <v>1404124215</v>
      </c>
      <c r="D6570">
        <v>-7162.68</v>
      </c>
    </row>
    <row r="6571" spans="1:4" hidden="1" x14ac:dyDescent="0.25">
      <c r="A6571" t="s">
        <v>676</v>
      </c>
      <c r="B6571" t="s">
        <v>62</v>
      </c>
      <c r="C6571" s="2">
        <f>HYPERLINK("https://sao.dolgi.msk.ru/account/1404123968/", 1404123968)</f>
        <v>1404123968</v>
      </c>
      <c r="D6571">
        <v>-7268.89</v>
      </c>
    </row>
    <row r="6572" spans="1:4" x14ac:dyDescent="0.25">
      <c r="A6572" t="s">
        <v>676</v>
      </c>
      <c r="B6572" t="s">
        <v>63</v>
      </c>
      <c r="C6572" s="2">
        <f>HYPERLINK("https://sao.dolgi.msk.ru/account/1404124741/", 1404124741)</f>
        <v>1404124741</v>
      </c>
      <c r="D6572">
        <v>3372.75</v>
      </c>
    </row>
    <row r="6573" spans="1:4" hidden="1" x14ac:dyDescent="0.25">
      <c r="A6573" t="s">
        <v>676</v>
      </c>
      <c r="B6573" t="s">
        <v>64</v>
      </c>
      <c r="C6573" s="2">
        <f>HYPERLINK("https://sao.dolgi.msk.ru/account/1404124565/", 1404124565)</f>
        <v>1404124565</v>
      </c>
      <c r="D6573">
        <v>-4129.41</v>
      </c>
    </row>
    <row r="6574" spans="1:4" hidden="1" x14ac:dyDescent="0.25">
      <c r="A6574" t="s">
        <v>676</v>
      </c>
      <c r="B6574" t="s">
        <v>65</v>
      </c>
      <c r="C6574" s="2">
        <f>HYPERLINK("https://sao.dolgi.msk.ru/account/1404123976/", 1404123976)</f>
        <v>1404123976</v>
      </c>
      <c r="D6574">
        <v>0</v>
      </c>
    </row>
    <row r="6575" spans="1:4" hidden="1" x14ac:dyDescent="0.25">
      <c r="A6575" t="s">
        <v>676</v>
      </c>
      <c r="B6575" t="s">
        <v>66</v>
      </c>
      <c r="C6575" s="2">
        <f>HYPERLINK("https://sao.dolgi.msk.ru/account/1404124573/", 1404124573)</f>
        <v>1404124573</v>
      </c>
      <c r="D6575">
        <v>-5648.5</v>
      </c>
    </row>
    <row r="6576" spans="1:4" hidden="1" x14ac:dyDescent="0.25">
      <c r="A6576" t="s">
        <v>676</v>
      </c>
      <c r="B6576" t="s">
        <v>67</v>
      </c>
      <c r="C6576" s="2">
        <f>HYPERLINK("https://sao.dolgi.msk.ru/account/1404123984/", 1404123984)</f>
        <v>1404123984</v>
      </c>
      <c r="D6576">
        <v>-9787.66</v>
      </c>
    </row>
    <row r="6577" spans="1:4" hidden="1" x14ac:dyDescent="0.25">
      <c r="A6577" t="s">
        <v>676</v>
      </c>
      <c r="B6577" t="s">
        <v>68</v>
      </c>
      <c r="C6577" s="2">
        <f>HYPERLINK("https://sao.dolgi.msk.ru/account/1404124944/", 1404124944)</f>
        <v>1404124944</v>
      </c>
      <c r="D6577">
        <v>-24.98</v>
      </c>
    </row>
    <row r="6578" spans="1:4" hidden="1" x14ac:dyDescent="0.25">
      <c r="A6578" t="s">
        <v>676</v>
      </c>
      <c r="B6578" t="s">
        <v>69</v>
      </c>
      <c r="C6578" s="2">
        <f>HYPERLINK("https://sao.dolgi.msk.ru/account/1404124362/", 1404124362)</f>
        <v>1404124362</v>
      </c>
      <c r="D6578">
        <v>-6365.88</v>
      </c>
    </row>
    <row r="6579" spans="1:4" hidden="1" x14ac:dyDescent="0.25">
      <c r="A6579" t="s">
        <v>676</v>
      </c>
      <c r="B6579" t="s">
        <v>70</v>
      </c>
      <c r="C6579" s="2">
        <f>HYPERLINK("https://sao.dolgi.msk.ru/account/1404124063/", 1404124063)</f>
        <v>1404124063</v>
      </c>
      <c r="D6579">
        <v>0</v>
      </c>
    </row>
    <row r="6580" spans="1:4" hidden="1" x14ac:dyDescent="0.25">
      <c r="A6580" t="s">
        <v>676</v>
      </c>
      <c r="B6580" t="s">
        <v>71</v>
      </c>
      <c r="C6580" s="2">
        <f>HYPERLINK("https://sao.dolgi.msk.ru/account/1404125111/", 1404125111)</f>
        <v>1404125111</v>
      </c>
      <c r="D6580">
        <v>-3006.41</v>
      </c>
    </row>
    <row r="6581" spans="1:4" hidden="1" x14ac:dyDescent="0.25">
      <c r="A6581" t="s">
        <v>676</v>
      </c>
      <c r="B6581" t="s">
        <v>72</v>
      </c>
      <c r="C6581" s="2">
        <f>HYPERLINK("https://sao.dolgi.msk.ru/account/1404124071/", 1404124071)</f>
        <v>1404124071</v>
      </c>
      <c r="D6581">
        <v>-4984.54</v>
      </c>
    </row>
    <row r="6582" spans="1:4" hidden="1" x14ac:dyDescent="0.25">
      <c r="A6582" t="s">
        <v>676</v>
      </c>
      <c r="B6582" t="s">
        <v>72</v>
      </c>
      <c r="C6582" s="2">
        <f>HYPERLINK("https://sao.dolgi.msk.ru/account/1404125189/", 1404125189)</f>
        <v>1404125189</v>
      </c>
      <c r="D6582">
        <v>-1551.1</v>
      </c>
    </row>
    <row r="6583" spans="1:4" hidden="1" x14ac:dyDescent="0.25">
      <c r="A6583" t="s">
        <v>676</v>
      </c>
      <c r="B6583" t="s">
        <v>73</v>
      </c>
      <c r="C6583" s="2">
        <f>HYPERLINK("https://sao.dolgi.msk.ru/account/1404123992/", 1404123992)</f>
        <v>1404123992</v>
      </c>
      <c r="D6583">
        <v>-2212.9699999999998</v>
      </c>
    </row>
    <row r="6584" spans="1:4" hidden="1" x14ac:dyDescent="0.25">
      <c r="A6584" t="s">
        <v>676</v>
      </c>
      <c r="B6584" t="s">
        <v>73</v>
      </c>
      <c r="C6584" s="2">
        <f>HYPERLINK("https://sao.dolgi.msk.ru/account/1404124856/", 1404124856)</f>
        <v>1404124856</v>
      </c>
      <c r="D6584">
        <v>-1955.04</v>
      </c>
    </row>
    <row r="6585" spans="1:4" x14ac:dyDescent="0.25">
      <c r="A6585" t="s">
        <v>676</v>
      </c>
      <c r="B6585" t="s">
        <v>74</v>
      </c>
      <c r="C6585" s="2">
        <f>HYPERLINK("https://sao.dolgi.msk.ru/account/1404125138/", 1404125138)</f>
        <v>1404125138</v>
      </c>
      <c r="D6585">
        <v>69793.350000000006</v>
      </c>
    </row>
    <row r="6586" spans="1:4" hidden="1" x14ac:dyDescent="0.25">
      <c r="A6586" t="s">
        <v>676</v>
      </c>
      <c r="B6586" t="s">
        <v>75</v>
      </c>
      <c r="C6586" s="2">
        <f>HYPERLINK("https://sao.dolgi.msk.ru/account/1404124952/", 1404124952)</f>
        <v>1404124952</v>
      </c>
      <c r="D6586">
        <v>-12.37</v>
      </c>
    </row>
    <row r="6587" spans="1:4" hidden="1" x14ac:dyDescent="0.25">
      <c r="A6587" t="s">
        <v>676</v>
      </c>
      <c r="B6587" t="s">
        <v>76</v>
      </c>
      <c r="C6587" s="2">
        <f>HYPERLINK("https://sao.dolgi.msk.ru/account/1404124979/", 1404124979)</f>
        <v>1404124979</v>
      </c>
      <c r="D6587">
        <v>-13.32</v>
      </c>
    </row>
    <row r="6588" spans="1:4" x14ac:dyDescent="0.25">
      <c r="A6588" t="s">
        <v>676</v>
      </c>
      <c r="B6588" t="s">
        <v>77</v>
      </c>
      <c r="C6588" s="2">
        <f>HYPERLINK("https://sao.dolgi.msk.ru/account/1404124581/", 1404124581)</f>
        <v>1404124581</v>
      </c>
      <c r="D6588">
        <v>8462.93</v>
      </c>
    </row>
    <row r="6589" spans="1:4" x14ac:dyDescent="0.25">
      <c r="A6589" t="s">
        <v>676</v>
      </c>
      <c r="B6589" t="s">
        <v>78</v>
      </c>
      <c r="C6589" s="2">
        <f>HYPERLINK("https://sao.dolgi.msk.ru/account/1404125146/", 1404125146)</f>
        <v>1404125146</v>
      </c>
      <c r="D6589">
        <v>179939.85</v>
      </c>
    </row>
    <row r="6590" spans="1:4" hidden="1" x14ac:dyDescent="0.25">
      <c r="A6590" t="s">
        <v>676</v>
      </c>
      <c r="B6590" t="s">
        <v>79</v>
      </c>
      <c r="C6590" s="2">
        <f>HYPERLINK("https://sao.dolgi.msk.ru/account/1404124231/", 1404124231)</f>
        <v>1404124231</v>
      </c>
      <c r="D6590">
        <v>-4011.87</v>
      </c>
    </row>
    <row r="6591" spans="1:4" hidden="1" x14ac:dyDescent="0.25">
      <c r="A6591" t="s">
        <v>676</v>
      </c>
      <c r="B6591" t="s">
        <v>80</v>
      </c>
      <c r="C6591" s="2">
        <f>HYPERLINK("https://sao.dolgi.msk.ru/account/1404124776/", 1404124776)</f>
        <v>1404124776</v>
      </c>
      <c r="D6591">
        <v>-4317.87</v>
      </c>
    </row>
    <row r="6592" spans="1:4" hidden="1" x14ac:dyDescent="0.25">
      <c r="A6592" t="s">
        <v>676</v>
      </c>
      <c r="B6592" t="s">
        <v>81</v>
      </c>
      <c r="C6592" s="2">
        <f>HYPERLINK("https://sao.dolgi.msk.ru/account/1404124987/", 1404124987)</f>
        <v>1404124987</v>
      </c>
      <c r="D6592">
        <v>-5391.31</v>
      </c>
    </row>
    <row r="6593" spans="1:4" hidden="1" x14ac:dyDescent="0.25">
      <c r="A6593" t="s">
        <v>676</v>
      </c>
      <c r="B6593" t="s">
        <v>82</v>
      </c>
      <c r="C6593" s="2">
        <f>HYPERLINK("https://sao.dolgi.msk.ru/account/1404124995/", 1404124995)</f>
        <v>1404124995</v>
      </c>
      <c r="D6593">
        <v>-9289.7800000000007</v>
      </c>
    </row>
    <row r="6594" spans="1:4" hidden="1" x14ac:dyDescent="0.25">
      <c r="A6594" t="s">
        <v>676</v>
      </c>
      <c r="B6594" t="s">
        <v>83</v>
      </c>
      <c r="C6594" s="2">
        <f>HYPERLINK("https://sao.dolgi.msk.ru/account/1404125154/", 1404125154)</f>
        <v>1404125154</v>
      </c>
      <c r="D6594">
        <v>-4050.96</v>
      </c>
    </row>
    <row r="6595" spans="1:4" hidden="1" x14ac:dyDescent="0.25">
      <c r="A6595" t="s">
        <v>676</v>
      </c>
      <c r="B6595" t="s">
        <v>84</v>
      </c>
      <c r="C6595" s="2">
        <f>HYPERLINK("https://sao.dolgi.msk.ru/account/1404124098/", 1404124098)</f>
        <v>1404124098</v>
      </c>
      <c r="D6595">
        <v>-6760.64</v>
      </c>
    </row>
    <row r="6596" spans="1:4" hidden="1" x14ac:dyDescent="0.25">
      <c r="A6596" t="s">
        <v>676</v>
      </c>
      <c r="B6596" t="s">
        <v>85</v>
      </c>
      <c r="C6596" s="2">
        <f>HYPERLINK("https://sao.dolgi.msk.ru/account/1404124784/", 1404124784)</f>
        <v>1404124784</v>
      </c>
      <c r="D6596">
        <v>-4587.7</v>
      </c>
    </row>
    <row r="6597" spans="1:4" hidden="1" x14ac:dyDescent="0.25">
      <c r="A6597" t="s">
        <v>676</v>
      </c>
      <c r="B6597" t="s">
        <v>86</v>
      </c>
      <c r="C6597" s="2">
        <f>HYPERLINK("https://sao.dolgi.msk.ru/account/1404124792/", 1404124792)</f>
        <v>1404124792</v>
      </c>
      <c r="D6597">
        <v>0</v>
      </c>
    </row>
    <row r="6598" spans="1:4" x14ac:dyDescent="0.25">
      <c r="A6598" t="s">
        <v>676</v>
      </c>
      <c r="B6598" t="s">
        <v>87</v>
      </c>
      <c r="C6598" s="2">
        <f>HYPERLINK("https://sao.dolgi.msk.ru/account/1404125007/", 1404125007)</f>
        <v>1404125007</v>
      </c>
      <c r="D6598">
        <v>22765.96</v>
      </c>
    </row>
    <row r="6599" spans="1:4" x14ac:dyDescent="0.25">
      <c r="A6599" t="s">
        <v>676</v>
      </c>
      <c r="B6599" t="s">
        <v>88</v>
      </c>
      <c r="C6599" s="2">
        <f>HYPERLINK("https://sao.dolgi.msk.ru/account/1404125015/", 1404125015)</f>
        <v>1404125015</v>
      </c>
      <c r="D6599">
        <v>196509.06</v>
      </c>
    </row>
    <row r="6600" spans="1:4" hidden="1" x14ac:dyDescent="0.25">
      <c r="A6600" t="s">
        <v>676</v>
      </c>
      <c r="B6600" t="s">
        <v>89</v>
      </c>
      <c r="C6600" s="2">
        <f>HYPERLINK("https://sao.dolgi.msk.ru/account/1404124389/", 1404124389)</f>
        <v>1404124389</v>
      </c>
      <c r="D6600">
        <v>0</v>
      </c>
    </row>
    <row r="6601" spans="1:4" hidden="1" x14ac:dyDescent="0.25">
      <c r="A6601" t="s">
        <v>676</v>
      </c>
      <c r="B6601" t="s">
        <v>90</v>
      </c>
      <c r="C6601" s="2">
        <f>HYPERLINK("https://sao.dolgi.msk.ru/account/1404124602/", 1404124602)</f>
        <v>1404124602</v>
      </c>
      <c r="D6601">
        <v>-6351.13</v>
      </c>
    </row>
    <row r="6602" spans="1:4" hidden="1" x14ac:dyDescent="0.25">
      <c r="A6602" t="s">
        <v>676</v>
      </c>
      <c r="B6602" t="s">
        <v>91</v>
      </c>
      <c r="C6602" s="2">
        <f>HYPERLINK("https://sao.dolgi.msk.ru/account/1404124397/", 1404124397)</f>
        <v>1404124397</v>
      </c>
      <c r="D6602">
        <v>-47.74</v>
      </c>
    </row>
    <row r="6603" spans="1:4" hidden="1" x14ac:dyDescent="0.25">
      <c r="A6603" t="s">
        <v>676</v>
      </c>
      <c r="B6603" t="s">
        <v>92</v>
      </c>
      <c r="C6603" s="2">
        <f>HYPERLINK("https://sao.dolgi.msk.ru/account/1404124418/", 1404124418)</f>
        <v>1404124418</v>
      </c>
      <c r="D6603">
        <v>-2761.1</v>
      </c>
    </row>
    <row r="6604" spans="1:4" hidden="1" x14ac:dyDescent="0.25">
      <c r="A6604" t="s">
        <v>676</v>
      </c>
      <c r="B6604" t="s">
        <v>93</v>
      </c>
      <c r="C6604" s="2">
        <f>HYPERLINK("https://sao.dolgi.msk.ru/account/1404124805/", 1404124805)</f>
        <v>1404124805</v>
      </c>
      <c r="D6604">
        <v>-2446.09</v>
      </c>
    </row>
    <row r="6605" spans="1:4" hidden="1" x14ac:dyDescent="0.25">
      <c r="A6605" t="s">
        <v>676</v>
      </c>
      <c r="B6605" t="s">
        <v>94</v>
      </c>
      <c r="C6605" s="2">
        <f>HYPERLINK("https://sao.dolgi.msk.ru/account/1404125023/", 1404125023)</f>
        <v>1404125023</v>
      </c>
      <c r="D6605">
        <v>-5839.36</v>
      </c>
    </row>
    <row r="6606" spans="1:4" hidden="1" x14ac:dyDescent="0.25">
      <c r="A6606" t="s">
        <v>676</v>
      </c>
      <c r="B6606" t="s">
        <v>95</v>
      </c>
      <c r="C6606" s="2">
        <f>HYPERLINK("https://sao.dolgi.msk.ru/account/1404124119/", 1404124119)</f>
        <v>1404124119</v>
      </c>
      <c r="D6606">
        <v>-2658.17</v>
      </c>
    </row>
    <row r="6607" spans="1:4" x14ac:dyDescent="0.25">
      <c r="A6607" t="s">
        <v>676</v>
      </c>
      <c r="B6607" t="s">
        <v>96</v>
      </c>
      <c r="C6607" s="2">
        <f>HYPERLINK("https://sao.dolgi.msk.ru/account/1404124004/", 1404124004)</f>
        <v>1404124004</v>
      </c>
      <c r="D6607">
        <v>168764.52</v>
      </c>
    </row>
    <row r="6608" spans="1:4" hidden="1" x14ac:dyDescent="0.25">
      <c r="A6608" t="s">
        <v>676</v>
      </c>
      <c r="B6608" t="s">
        <v>97</v>
      </c>
      <c r="C6608" s="2">
        <f>HYPERLINK("https://sao.dolgi.msk.ru/account/1404124629/", 1404124629)</f>
        <v>1404124629</v>
      </c>
      <c r="D6608">
        <v>-276.56</v>
      </c>
    </row>
    <row r="6609" spans="1:4" hidden="1" x14ac:dyDescent="0.25">
      <c r="A6609" t="s">
        <v>676</v>
      </c>
      <c r="B6609" t="s">
        <v>98</v>
      </c>
      <c r="C6609" s="2">
        <f>HYPERLINK("https://sao.dolgi.msk.ru/account/1404124821/", 1404124821)</f>
        <v>1404124821</v>
      </c>
      <c r="D6609">
        <v>-8327.23</v>
      </c>
    </row>
    <row r="6610" spans="1:4" hidden="1" x14ac:dyDescent="0.25">
      <c r="A6610" t="s">
        <v>676</v>
      </c>
      <c r="B6610" t="s">
        <v>99</v>
      </c>
      <c r="C6610" s="2">
        <f>HYPERLINK("https://sao.dolgi.msk.ru/account/1404124848/", 1404124848)</f>
        <v>1404124848</v>
      </c>
      <c r="D6610">
        <v>-4505.4799999999996</v>
      </c>
    </row>
    <row r="6611" spans="1:4" hidden="1" x14ac:dyDescent="0.25">
      <c r="A6611" t="s">
        <v>676</v>
      </c>
      <c r="B6611" t="s">
        <v>100</v>
      </c>
      <c r="C6611" s="2">
        <f>HYPERLINK("https://sao.dolgi.msk.ru/account/1404124426/", 1404124426)</f>
        <v>1404124426</v>
      </c>
      <c r="D6611">
        <v>-3729.21</v>
      </c>
    </row>
    <row r="6612" spans="1:4" hidden="1" x14ac:dyDescent="0.25">
      <c r="A6612" t="s">
        <v>676</v>
      </c>
      <c r="B6612" t="s">
        <v>101</v>
      </c>
      <c r="C6612" s="2">
        <f>HYPERLINK("https://sao.dolgi.msk.ru/account/1404124637/", 1404124637)</f>
        <v>1404124637</v>
      </c>
      <c r="D6612">
        <v>-12.6</v>
      </c>
    </row>
    <row r="6613" spans="1:4" hidden="1" x14ac:dyDescent="0.25">
      <c r="A6613" t="s">
        <v>676</v>
      </c>
      <c r="B6613" t="s">
        <v>102</v>
      </c>
      <c r="C6613" s="2">
        <f>HYPERLINK("https://sao.dolgi.msk.ru/account/1404124258/", 1404124258)</f>
        <v>1404124258</v>
      </c>
      <c r="D6613">
        <v>-1254.54</v>
      </c>
    </row>
    <row r="6614" spans="1:4" hidden="1" x14ac:dyDescent="0.25">
      <c r="A6614" t="s">
        <v>676</v>
      </c>
      <c r="B6614" t="s">
        <v>103</v>
      </c>
      <c r="C6614" s="2">
        <f>HYPERLINK("https://sao.dolgi.msk.ru/account/1404124434/", 1404124434)</f>
        <v>1404124434</v>
      </c>
      <c r="D6614">
        <v>0</v>
      </c>
    </row>
    <row r="6615" spans="1:4" hidden="1" x14ac:dyDescent="0.25">
      <c r="A6615" t="s">
        <v>676</v>
      </c>
      <c r="B6615" t="s">
        <v>104</v>
      </c>
      <c r="C6615" s="2">
        <f>HYPERLINK("https://sao.dolgi.msk.ru/account/1404124274/", 1404124274)</f>
        <v>1404124274</v>
      </c>
      <c r="D6615">
        <v>-1701.6</v>
      </c>
    </row>
    <row r="6616" spans="1:4" hidden="1" x14ac:dyDescent="0.25">
      <c r="A6616" t="s">
        <v>676</v>
      </c>
      <c r="B6616" t="s">
        <v>105</v>
      </c>
      <c r="C6616" s="2">
        <f>HYPERLINK("https://sao.dolgi.msk.ru/account/1404124127/", 1404124127)</f>
        <v>1404124127</v>
      </c>
      <c r="D6616">
        <v>0</v>
      </c>
    </row>
    <row r="6617" spans="1:4" hidden="1" x14ac:dyDescent="0.25">
      <c r="A6617" t="s">
        <v>676</v>
      </c>
      <c r="B6617" t="s">
        <v>106</v>
      </c>
      <c r="C6617" s="2">
        <f>HYPERLINK("https://sao.dolgi.msk.ru/account/1404124469/", 1404124469)</f>
        <v>1404124469</v>
      </c>
      <c r="D6617">
        <v>0</v>
      </c>
    </row>
    <row r="6618" spans="1:4" hidden="1" x14ac:dyDescent="0.25">
      <c r="A6618" t="s">
        <v>677</v>
      </c>
      <c r="B6618" t="s">
        <v>5</v>
      </c>
      <c r="C6618" s="2">
        <f>HYPERLINK("https://sao.dolgi.msk.ru/account/1404099902/", 1404099902)</f>
        <v>1404099902</v>
      </c>
      <c r="D6618">
        <v>-7521.13</v>
      </c>
    </row>
    <row r="6619" spans="1:4" hidden="1" x14ac:dyDescent="0.25">
      <c r="A6619" t="s">
        <v>677</v>
      </c>
      <c r="B6619" t="s">
        <v>6</v>
      </c>
      <c r="C6619" s="2">
        <f>HYPERLINK("https://sao.dolgi.msk.ru/account/1404155425/", 1404155425)</f>
        <v>1404155425</v>
      </c>
      <c r="D6619">
        <v>0</v>
      </c>
    </row>
    <row r="6620" spans="1:4" hidden="1" x14ac:dyDescent="0.25">
      <c r="A6620" t="s">
        <v>677</v>
      </c>
      <c r="B6620" t="s">
        <v>7</v>
      </c>
      <c r="C6620" s="2">
        <f>HYPERLINK("https://sao.dolgi.msk.ru/account/1404083767/", 1404083767)</f>
        <v>1404083767</v>
      </c>
      <c r="D6620">
        <v>-1641.72</v>
      </c>
    </row>
    <row r="6621" spans="1:4" hidden="1" x14ac:dyDescent="0.25">
      <c r="A6621" t="s">
        <v>677</v>
      </c>
      <c r="B6621" t="s">
        <v>8</v>
      </c>
      <c r="C6621" s="2">
        <f>HYPERLINK("https://sao.dolgi.msk.ru/account/1404099937/", 1404099937)</f>
        <v>1404099937</v>
      </c>
      <c r="D6621">
        <v>-7584.59</v>
      </c>
    </row>
    <row r="6622" spans="1:4" hidden="1" x14ac:dyDescent="0.25">
      <c r="A6622" t="s">
        <v>677</v>
      </c>
      <c r="B6622" t="s">
        <v>9</v>
      </c>
      <c r="C6622" s="2">
        <f>HYPERLINK("https://sao.dolgi.msk.ru/account/1404153964/", 1404153964)</f>
        <v>1404153964</v>
      </c>
      <c r="D6622">
        <v>-4910.57</v>
      </c>
    </row>
    <row r="6623" spans="1:4" hidden="1" x14ac:dyDescent="0.25">
      <c r="A6623" t="s">
        <v>677</v>
      </c>
      <c r="B6623" t="s">
        <v>10</v>
      </c>
      <c r="C6623" s="2">
        <f>HYPERLINK("https://sao.dolgi.msk.ru/account/1404099953/", 1404099953)</f>
        <v>1404099953</v>
      </c>
      <c r="D6623">
        <v>-6514.33</v>
      </c>
    </row>
    <row r="6624" spans="1:4" hidden="1" x14ac:dyDescent="0.25">
      <c r="A6624" t="s">
        <v>677</v>
      </c>
      <c r="B6624" t="s">
        <v>11</v>
      </c>
      <c r="C6624" s="2">
        <f>HYPERLINK("https://sao.dolgi.msk.ru/account/1404153884/", 1404153884)</f>
        <v>1404153884</v>
      </c>
      <c r="D6624">
        <v>-117.96</v>
      </c>
    </row>
    <row r="6625" spans="1:4" hidden="1" x14ac:dyDescent="0.25">
      <c r="A6625" t="s">
        <v>677</v>
      </c>
      <c r="B6625" t="s">
        <v>12</v>
      </c>
      <c r="C6625" s="2">
        <f>HYPERLINK("https://sao.dolgi.msk.ru/account/1404087645/", 1404087645)</f>
        <v>1404087645</v>
      </c>
      <c r="D6625">
        <v>-5020.9399999999996</v>
      </c>
    </row>
    <row r="6626" spans="1:4" hidden="1" x14ac:dyDescent="0.25">
      <c r="A6626" t="s">
        <v>677</v>
      </c>
      <c r="B6626" t="s">
        <v>13</v>
      </c>
      <c r="C6626" s="2">
        <f>HYPERLINK("https://sao.dolgi.msk.ru/account/1404087207/", 1404087207)</f>
        <v>1404087207</v>
      </c>
      <c r="D6626">
        <v>-495.18</v>
      </c>
    </row>
    <row r="6627" spans="1:4" x14ac:dyDescent="0.25">
      <c r="A6627" t="s">
        <v>677</v>
      </c>
      <c r="B6627" t="s">
        <v>14</v>
      </c>
      <c r="C6627" s="2">
        <f>HYPERLINK("https://sao.dolgi.msk.ru/account/1404092241/", 1404092241)</f>
        <v>1404092241</v>
      </c>
      <c r="D6627">
        <v>12743.9</v>
      </c>
    </row>
    <row r="6628" spans="1:4" hidden="1" x14ac:dyDescent="0.25">
      <c r="A6628" t="s">
        <v>677</v>
      </c>
      <c r="B6628" t="s">
        <v>15</v>
      </c>
      <c r="C6628" s="2">
        <f>HYPERLINK("https://sao.dolgi.msk.ru/account/1404087979/", 1404087979)</f>
        <v>1404087979</v>
      </c>
      <c r="D6628">
        <v>-6345.11</v>
      </c>
    </row>
    <row r="6629" spans="1:4" x14ac:dyDescent="0.25">
      <c r="A6629" t="s">
        <v>677</v>
      </c>
      <c r="B6629" t="s">
        <v>16</v>
      </c>
      <c r="C6629" s="2">
        <f>HYPERLINK("https://sao.dolgi.msk.ru/account/1404092671/", 1404092671)</f>
        <v>1404092671</v>
      </c>
      <c r="D6629">
        <v>127384.66</v>
      </c>
    </row>
    <row r="6630" spans="1:4" hidden="1" x14ac:dyDescent="0.25">
      <c r="A6630" t="s">
        <v>677</v>
      </c>
      <c r="B6630" t="s">
        <v>17</v>
      </c>
      <c r="C6630" s="2">
        <f>HYPERLINK("https://sao.dolgi.msk.ru/account/1404083644/", 1404083644)</f>
        <v>1404083644</v>
      </c>
      <c r="D6630">
        <v>-4015.71</v>
      </c>
    </row>
    <row r="6631" spans="1:4" hidden="1" x14ac:dyDescent="0.25">
      <c r="A6631" t="s">
        <v>677</v>
      </c>
      <c r="B6631" t="s">
        <v>18</v>
      </c>
      <c r="C6631" s="2">
        <f>HYPERLINK("https://sao.dolgi.msk.ru/account/1404150536/", 1404150536)</f>
        <v>1404150536</v>
      </c>
      <c r="D6631">
        <v>-1321.12</v>
      </c>
    </row>
    <row r="6632" spans="1:4" hidden="1" x14ac:dyDescent="0.25">
      <c r="A6632" t="s">
        <v>677</v>
      </c>
      <c r="B6632" t="s">
        <v>19</v>
      </c>
      <c r="C6632" s="2">
        <f>HYPERLINK("https://sao.dolgi.msk.ru/account/1404084057/", 1404084057)</f>
        <v>1404084057</v>
      </c>
      <c r="D6632">
        <v>-7246.95</v>
      </c>
    </row>
    <row r="6633" spans="1:4" hidden="1" x14ac:dyDescent="0.25">
      <c r="A6633" t="s">
        <v>677</v>
      </c>
      <c r="B6633" t="s">
        <v>20</v>
      </c>
      <c r="C6633" s="2">
        <f>HYPERLINK("https://sao.dolgi.msk.ru/account/1404085762/", 1404085762)</f>
        <v>1404085762</v>
      </c>
      <c r="D6633">
        <v>-6328.09</v>
      </c>
    </row>
    <row r="6634" spans="1:4" hidden="1" x14ac:dyDescent="0.25">
      <c r="A6634" t="s">
        <v>677</v>
      </c>
      <c r="B6634" t="s">
        <v>21</v>
      </c>
      <c r="C6634" s="2">
        <f>HYPERLINK("https://sao.dolgi.msk.ru/account/1404083855/", 1404083855)</f>
        <v>1404083855</v>
      </c>
      <c r="D6634">
        <v>-4559.96</v>
      </c>
    </row>
    <row r="6635" spans="1:4" hidden="1" x14ac:dyDescent="0.25">
      <c r="A6635" t="s">
        <v>677</v>
      </c>
      <c r="B6635" t="s">
        <v>22</v>
      </c>
      <c r="C6635" s="2">
        <f>HYPERLINK("https://sao.dolgi.msk.ru/account/1404084479/", 1404084479)</f>
        <v>1404084479</v>
      </c>
      <c r="D6635">
        <v>-6380.34</v>
      </c>
    </row>
    <row r="6636" spans="1:4" x14ac:dyDescent="0.25">
      <c r="A6636" t="s">
        <v>677</v>
      </c>
      <c r="B6636" t="s">
        <v>23</v>
      </c>
      <c r="C6636" s="2">
        <f>HYPERLINK("https://sao.dolgi.msk.ru/account/1404083345/", 1404083345)</f>
        <v>1404083345</v>
      </c>
      <c r="D6636">
        <v>8669.9</v>
      </c>
    </row>
    <row r="6637" spans="1:4" hidden="1" x14ac:dyDescent="0.25">
      <c r="A6637" t="s">
        <v>677</v>
      </c>
      <c r="B6637" t="s">
        <v>24</v>
      </c>
      <c r="C6637" s="2">
        <f>HYPERLINK("https://sao.dolgi.msk.ru/account/1404088293/", 1404088293)</f>
        <v>1404088293</v>
      </c>
      <c r="D6637">
        <v>-5437.84</v>
      </c>
    </row>
    <row r="6638" spans="1:4" hidden="1" x14ac:dyDescent="0.25">
      <c r="A6638" t="s">
        <v>677</v>
      </c>
      <c r="B6638" t="s">
        <v>25</v>
      </c>
      <c r="C6638" s="2">
        <f>HYPERLINK("https://sao.dolgi.msk.ru/account/1404089421/", 1404089421)</f>
        <v>1404089421</v>
      </c>
      <c r="D6638">
        <v>-7631.23</v>
      </c>
    </row>
    <row r="6639" spans="1:4" hidden="1" x14ac:dyDescent="0.25">
      <c r="A6639" t="s">
        <v>677</v>
      </c>
      <c r="B6639" t="s">
        <v>26</v>
      </c>
      <c r="C6639" s="2">
        <f>HYPERLINK("https://sao.dolgi.msk.ru/account/1404088883/", 1404088883)</f>
        <v>1404088883</v>
      </c>
      <c r="D6639">
        <v>-572.99</v>
      </c>
    </row>
    <row r="6640" spans="1:4" hidden="1" x14ac:dyDescent="0.25">
      <c r="A6640" t="s">
        <v>677</v>
      </c>
      <c r="B6640" t="s">
        <v>27</v>
      </c>
      <c r="C6640" s="2">
        <f>HYPERLINK("https://sao.dolgi.msk.ru/account/1404087688/", 1404087688)</f>
        <v>1404087688</v>
      </c>
      <c r="D6640">
        <v>-7165.88</v>
      </c>
    </row>
    <row r="6641" spans="1:4" x14ac:dyDescent="0.25">
      <c r="A6641" t="s">
        <v>677</v>
      </c>
      <c r="B6641" t="s">
        <v>28</v>
      </c>
      <c r="C6641" s="2">
        <f>HYPERLINK("https://sao.dolgi.msk.ru/account/1404089325/", 1404089325)</f>
        <v>1404089325</v>
      </c>
      <c r="D6641">
        <v>7821.1</v>
      </c>
    </row>
    <row r="6642" spans="1:4" hidden="1" x14ac:dyDescent="0.25">
      <c r="A6642" t="s">
        <v>677</v>
      </c>
      <c r="B6642" t="s">
        <v>29</v>
      </c>
      <c r="C6642" s="2">
        <f>HYPERLINK("https://sao.dolgi.msk.ru/account/1404084401/", 1404084401)</f>
        <v>1404084401</v>
      </c>
      <c r="D6642">
        <v>-4477.7</v>
      </c>
    </row>
    <row r="6643" spans="1:4" hidden="1" x14ac:dyDescent="0.25">
      <c r="A6643" t="s">
        <v>677</v>
      </c>
      <c r="B6643" t="s">
        <v>30</v>
      </c>
      <c r="C6643" s="2">
        <f>HYPERLINK("https://sao.dolgi.msk.ru/account/1404082545/", 1404082545)</f>
        <v>1404082545</v>
      </c>
      <c r="D6643">
        <v>-3149.56</v>
      </c>
    </row>
    <row r="6644" spans="1:4" hidden="1" x14ac:dyDescent="0.25">
      <c r="A6644" t="s">
        <v>677</v>
      </c>
      <c r="B6644" t="s">
        <v>31</v>
      </c>
      <c r="C6644" s="2">
        <f>HYPERLINK("https://sao.dolgi.msk.ru/account/1404085463/", 1404085463)</f>
        <v>1404085463</v>
      </c>
      <c r="D6644">
        <v>-667.61</v>
      </c>
    </row>
    <row r="6645" spans="1:4" hidden="1" x14ac:dyDescent="0.25">
      <c r="A6645" t="s">
        <v>677</v>
      </c>
      <c r="B6645" t="s">
        <v>32</v>
      </c>
      <c r="C6645" s="2">
        <f>HYPERLINK("https://sao.dolgi.msk.ru/account/1404100045/", 1404100045)</f>
        <v>1404100045</v>
      </c>
      <c r="D6645">
        <v>-5214.53</v>
      </c>
    </row>
    <row r="6646" spans="1:4" x14ac:dyDescent="0.25">
      <c r="A6646" t="s">
        <v>677</v>
      </c>
      <c r="B6646" t="s">
        <v>33</v>
      </c>
      <c r="C6646" s="2">
        <f>HYPERLINK("https://sao.dolgi.msk.ru/account/1404085615/", 1404085615)</f>
        <v>1404085615</v>
      </c>
      <c r="D6646">
        <v>17150.34</v>
      </c>
    </row>
    <row r="6647" spans="1:4" hidden="1" x14ac:dyDescent="0.25">
      <c r="A6647" t="s">
        <v>677</v>
      </c>
      <c r="B6647" t="s">
        <v>34</v>
      </c>
      <c r="C6647" s="2">
        <f>HYPERLINK("https://sao.dolgi.msk.ru/account/1404090326/", 1404090326)</f>
        <v>1404090326</v>
      </c>
      <c r="D6647">
        <v>-63456.39</v>
      </c>
    </row>
    <row r="6648" spans="1:4" hidden="1" x14ac:dyDescent="0.25">
      <c r="A6648" t="s">
        <v>677</v>
      </c>
      <c r="B6648" t="s">
        <v>35</v>
      </c>
      <c r="C6648" s="2">
        <f>HYPERLINK("https://sao.dolgi.msk.ru/account/1404089261/", 1404089261)</f>
        <v>1404089261</v>
      </c>
      <c r="D6648">
        <v>-8539.41</v>
      </c>
    </row>
    <row r="6649" spans="1:4" hidden="1" x14ac:dyDescent="0.25">
      <c r="A6649" t="s">
        <v>677</v>
      </c>
      <c r="B6649" t="s">
        <v>36</v>
      </c>
      <c r="C6649" s="2">
        <f>HYPERLINK("https://sao.dolgi.msk.ru/account/1404084129/", 1404084129)</f>
        <v>1404084129</v>
      </c>
      <c r="D6649">
        <v>-306.06</v>
      </c>
    </row>
    <row r="6650" spans="1:4" hidden="1" x14ac:dyDescent="0.25">
      <c r="A6650" t="s">
        <v>677</v>
      </c>
      <c r="B6650" t="s">
        <v>37</v>
      </c>
      <c r="C6650" s="2">
        <f>HYPERLINK("https://sao.dolgi.msk.ru/account/1404084727/", 1404084727)</f>
        <v>1404084727</v>
      </c>
      <c r="D6650">
        <v>-4191.8</v>
      </c>
    </row>
    <row r="6651" spans="1:4" x14ac:dyDescent="0.25">
      <c r="A6651" t="s">
        <v>677</v>
      </c>
      <c r="B6651" t="s">
        <v>38</v>
      </c>
      <c r="C6651" s="2">
        <f>HYPERLINK("https://sao.dolgi.msk.ru/account/1404090086/", 1404090086)</f>
        <v>1404090086</v>
      </c>
      <c r="D6651">
        <v>6282.11</v>
      </c>
    </row>
    <row r="6652" spans="1:4" hidden="1" x14ac:dyDescent="0.25">
      <c r="A6652" t="s">
        <v>677</v>
      </c>
      <c r="B6652" t="s">
        <v>39</v>
      </c>
      <c r="C6652" s="2">
        <f>HYPERLINK("https://sao.dolgi.msk.ru/account/1404082932/", 1404082932)</f>
        <v>1404082932</v>
      </c>
      <c r="D6652">
        <v>-5229.6400000000003</v>
      </c>
    </row>
    <row r="6653" spans="1:4" hidden="1" x14ac:dyDescent="0.25">
      <c r="A6653" t="s">
        <v>677</v>
      </c>
      <c r="B6653" t="s">
        <v>40</v>
      </c>
      <c r="C6653" s="2">
        <f>HYPERLINK("https://sao.dolgi.msk.ru/account/1404084284/", 1404084284)</f>
        <v>1404084284</v>
      </c>
      <c r="D6653">
        <v>-5282.48</v>
      </c>
    </row>
    <row r="6654" spans="1:4" hidden="1" x14ac:dyDescent="0.25">
      <c r="A6654" t="s">
        <v>677</v>
      </c>
      <c r="B6654" t="s">
        <v>41</v>
      </c>
      <c r="C6654" s="2">
        <f>HYPERLINK("https://sao.dolgi.msk.ru/account/1404085017/", 1404085017)</f>
        <v>1404085017</v>
      </c>
      <c r="D6654">
        <v>-4392.33</v>
      </c>
    </row>
    <row r="6655" spans="1:4" hidden="1" x14ac:dyDescent="0.25">
      <c r="A6655" t="s">
        <v>677</v>
      </c>
      <c r="B6655" t="s">
        <v>42</v>
      </c>
      <c r="C6655" s="2">
        <f>HYPERLINK("https://sao.dolgi.msk.ru/account/1404085535/", 1404085535)</f>
        <v>1404085535</v>
      </c>
      <c r="D6655">
        <v>-6837.57</v>
      </c>
    </row>
    <row r="6656" spans="1:4" hidden="1" x14ac:dyDescent="0.25">
      <c r="A6656" t="s">
        <v>677</v>
      </c>
      <c r="B6656" t="s">
        <v>43</v>
      </c>
      <c r="C6656" s="2">
        <f>HYPERLINK("https://sao.dolgi.msk.ru/account/1404083708/", 1404083708)</f>
        <v>1404083708</v>
      </c>
      <c r="D6656">
        <v>0</v>
      </c>
    </row>
    <row r="6657" spans="1:4" hidden="1" x14ac:dyDescent="0.25">
      <c r="A6657" t="s">
        <v>677</v>
      </c>
      <c r="B6657" t="s">
        <v>44</v>
      </c>
      <c r="C6657" s="2">
        <f>HYPERLINK("https://sao.dolgi.msk.ru/account/1404083169/", 1404083169)</f>
        <v>1404083169</v>
      </c>
      <c r="D6657">
        <v>0</v>
      </c>
    </row>
    <row r="6658" spans="1:4" hidden="1" x14ac:dyDescent="0.25">
      <c r="A6658" t="s">
        <v>677</v>
      </c>
      <c r="B6658" t="s">
        <v>45</v>
      </c>
      <c r="C6658" s="2">
        <f>HYPERLINK("https://sao.dolgi.msk.ru/account/1404083433/", 1404083433)</f>
        <v>1404083433</v>
      </c>
      <c r="D6658">
        <v>-3055.51</v>
      </c>
    </row>
    <row r="6659" spans="1:4" hidden="1" x14ac:dyDescent="0.25">
      <c r="A6659" t="s">
        <v>677</v>
      </c>
      <c r="B6659" t="s">
        <v>46</v>
      </c>
      <c r="C6659" s="2">
        <f>HYPERLINK("https://sao.dolgi.msk.ru/account/1404083548/", 1404083548)</f>
        <v>1404083548</v>
      </c>
      <c r="D6659">
        <v>-5683.63</v>
      </c>
    </row>
    <row r="6660" spans="1:4" x14ac:dyDescent="0.25">
      <c r="A6660" t="s">
        <v>677</v>
      </c>
      <c r="B6660" t="s">
        <v>47</v>
      </c>
      <c r="C6660" s="2">
        <f>HYPERLINK("https://sao.dolgi.msk.ru/account/1404085164/", 1404085164)</f>
        <v>1404085164</v>
      </c>
      <c r="D6660">
        <v>4226.93</v>
      </c>
    </row>
    <row r="6661" spans="1:4" hidden="1" x14ac:dyDescent="0.25">
      <c r="A6661" t="s">
        <v>677</v>
      </c>
      <c r="B6661" t="s">
        <v>48</v>
      </c>
      <c r="C6661" s="2">
        <f>HYPERLINK("https://sao.dolgi.msk.ru/account/1404085076/", 1404085076)</f>
        <v>1404085076</v>
      </c>
      <c r="D6661">
        <v>0</v>
      </c>
    </row>
    <row r="6662" spans="1:4" hidden="1" x14ac:dyDescent="0.25">
      <c r="A6662" t="s">
        <v>677</v>
      </c>
      <c r="B6662" t="s">
        <v>49</v>
      </c>
      <c r="C6662" s="2">
        <f>HYPERLINK("https://sao.dolgi.msk.ru/account/1404087186/", 1404087186)</f>
        <v>1404087186</v>
      </c>
      <c r="D6662">
        <v>-6427.78</v>
      </c>
    </row>
    <row r="6663" spans="1:4" x14ac:dyDescent="0.25">
      <c r="A6663" t="s">
        <v>677</v>
      </c>
      <c r="B6663" t="s">
        <v>50</v>
      </c>
      <c r="C6663" s="2">
        <f>HYPERLINK("https://sao.dolgi.msk.ru/account/1404083943/", 1404083943)</f>
        <v>1404083943</v>
      </c>
      <c r="D6663">
        <v>12615.37</v>
      </c>
    </row>
    <row r="6664" spans="1:4" hidden="1" x14ac:dyDescent="0.25">
      <c r="A6664" t="s">
        <v>677</v>
      </c>
      <c r="B6664" t="s">
        <v>51</v>
      </c>
      <c r="C6664" s="2">
        <f>HYPERLINK("https://sao.dolgi.msk.ru/account/1404083978/", 1404083978)</f>
        <v>1404083978</v>
      </c>
      <c r="D6664">
        <v>0</v>
      </c>
    </row>
    <row r="6665" spans="1:4" x14ac:dyDescent="0.25">
      <c r="A6665" t="s">
        <v>677</v>
      </c>
      <c r="B6665" t="s">
        <v>52</v>
      </c>
      <c r="C6665" s="2">
        <f>HYPERLINK("https://sao.dolgi.msk.ru/account/1404088023/", 1404088023)</f>
        <v>1404088023</v>
      </c>
      <c r="D6665">
        <v>9556.83</v>
      </c>
    </row>
    <row r="6666" spans="1:4" hidden="1" x14ac:dyDescent="0.25">
      <c r="A6666" t="s">
        <v>677</v>
      </c>
      <c r="B6666" t="s">
        <v>53</v>
      </c>
      <c r="C6666" s="2">
        <f>HYPERLINK("https://sao.dolgi.msk.ru/account/1404087039/", 1404087039)</f>
        <v>1404087039</v>
      </c>
      <c r="D6666">
        <v>-3142.38</v>
      </c>
    </row>
    <row r="6667" spans="1:4" hidden="1" x14ac:dyDescent="0.25">
      <c r="A6667" t="s">
        <v>677</v>
      </c>
      <c r="B6667" t="s">
        <v>54</v>
      </c>
      <c r="C6667" s="2">
        <f>HYPERLINK("https://sao.dolgi.msk.ru/account/1404085631/", 1404085631)</f>
        <v>1404085631</v>
      </c>
      <c r="D6667">
        <v>-4556.38</v>
      </c>
    </row>
    <row r="6668" spans="1:4" hidden="1" x14ac:dyDescent="0.25">
      <c r="A6668" t="s">
        <v>677</v>
      </c>
      <c r="B6668" t="s">
        <v>55</v>
      </c>
      <c r="C6668" s="2">
        <f>HYPERLINK("https://sao.dolgi.msk.ru/account/1404082879/", 1404082879)</f>
        <v>1404082879</v>
      </c>
      <c r="D6668">
        <v>-1010.86</v>
      </c>
    </row>
    <row r="6669" spans="1:4" hidden="1" x14ac:dyDescent="0.25">
      <c r="A6669" t="s">
        <v>677</v>
      </c>
      <c r="B6669" t="s">
        <v>56</v>
      </c>
      <c r="C6669" s="2">
        <f>HYPERLINK("https://sao.dolgi.msk.ru/account/1404083935/", 1404083935)</f>
        <v>1404083935</v>
      </c>
      <c r="D6669">
        <v>-6458.64</v>
      </c>
    </row>
    <row r="6670" spans="1:4" hidden="1" x14ac:dyDescent="0.25">
      <c r="A6670" t="s">
        <v>677</v>
      </c>
      <c r="B6670" t="s">
        <v>57</v>
      </c>
      <c r="C6670" s="2">
        <f>HYPERLINK("https://sao.dolgi.msk.ru/account/1404082959/", 1404082959)</f>
        <v>1404082959</v>
      </c>
      <c r="D6670">
        <v>-8409.56</v>
      </c>
    </row>
    <row r="6671" spans="1:4" x14ac:dyDescent="0.25">
      <c r="A6671" t="s">
        <v>677</v>
      </c>
      <c r="B6671" t="s">
        <v>58</v>
      </c>
      <c r="C6671" s="2">
        <f>HYPERLINK("https://sao.dolgi.msk.ru/account/1404090991/", 1404090991)</f>
        <v>1404090991</v>
      </c>
      <c r="D6671">
        <v>39122.129999999997</v>
      </c>
    </row>
    <row r="6672" spans="1:4" hidden="1" x14ac:dyDescent="0.25">
      <c r="A6672" t="s">
        <v>677</v>
      </c>
      <c r="B6672" t="s">
        <v>59</v>
      </c>
      <c r="C6672" s="2">
        <f>HYPERLINK("https://sao.dolgi.msk.ru/account/1404087805/", 1404087805)</f>
        <v>1404087805</v>
      </c>
      <c r="D6672">
        <v>-3100.09</v>
      </c>
    </row>
    <row r="6673" spans="1:4" hidden="1" x14ac:dyDescent="0.25">
      <c r="A6673" t="s">
        <v>677</v>
      </c>
      <c r="B6673" t="s">
        <v>60</v>
      </c>
      <c r="C6673" s="2">
        <f>HYPERLINK("https://sao.dolgi.msk.ru/account/1404139898/", 1404139898)</f>
        <v>1404139898</v>
      </c>
      <c r="D6673">
        <v>-285.29000000000002</v>
      </c>
    </row>
    <row r="6674" spans="1:4" hidden="1" x14ac:dyDescent="0.25">
      <c r="A6674" t="s">
        <v>677</v>
      </c>
      <c r="B6674" t="s">
        <v>61</v>
      </c>
      <c r="C6674" s="2">
        <f>HYPERLINK("https://sao.dolgi.msk.ru/account/1404088891/", 1404088891)</f>
        <v>1404088891</v>
      </c>
      <c r="D6674">
        <v>-3439.41</v>
      </c>
    </row>
    <row r="6675" spans="1:4" hidden="1" x14ac:dyDescent="0.25">
      <c r="A6675" t="s">
        <v>677</v>
      </c>
      <c r="B6675" t="s">
        <v>62</v>
      </c>
      <c r="C6675" s="2">
        <f>HYPERLINK("https://sao.dolgi.msk.ru/account/1404089958/", 1404089958)</f>
        <v>1404089958</v>
      </c>
      <c r="D6675">
        <v>-7364.18</v>
      </c>
    </row>
    <row r="6676" spans="1:4" x14ac:dyDescent="0.25">
      <c r="A6676" t="s">
        <v>677</v>
      </c>
      <c r="B6676" t="s">
        <v>63</v>
      </c>
      <c r="C6676" s="2">
        <f>HYPERLINK("https://sao.dolgi.msk.ru/account/1404088402/", 1404088402)</f>
        <v>1404088402</v>
      </c>
      <c r="D6676">
        <v>124835.72</v>
      </c>
    </row>
    <row r="6677" spans="1:4" x14ac:dyDescent="0.25">
      <c r="A6677" t="s">
        <v>677</v>
      </c>
      <c r="B6677" t="s">
        <v>64</v>
      </c>
      <c r="C6677" s="2">
        <f>HYPERLINK("https://sao.dolgi.msk.ru/account/1404086896/", 1404086896)</f>
        <v>1404086896</v>
      </c>
      <c r="D6677">
        <v>147.91</v>
      </c>
    </row>
    <row r="6678" spans="1:4" hidden="1" x14ac:dyDescent="0.25">
      <c r="A6678" t="s">
        <v>677</v>
      </c>
      <c r="B6678" t="s">
        <v>65</v>
      </c>
      <c r="C6678" s="2">
        <f>HYPERLINK("https://sao.dolgi.msk.ru/account/1404083679/", 1404083679)</f>
        <v>1404083679</v>
      </c>
      <c r="D6678">
        <v>-6275.71</v>
      </c>
    </row>
    <row r="6679" spans="1:4" hidden="1" x14ac:dyDescent="0.25">
      <c r="A6679" t="s">
        <v>677</v>
      </c>
      <c r="B6679" t="s">
        <v>66</v>
      </c>
      <c r="C6679" s="2">
        <f>HYPERLINK("https://sao.dolgi.msk.ru/account/1404100061/", 1404100061)</f>
        <v>1404100061</v>
      </c>
      <c r="D6679">
        <v>-2446.9699999999998</v>
      </c>
    </row>
    <row r="6680" spans="1:4" x14ac:dyDescent="0.25">
      <c r="A6680" t="s">
        <v>677</v>
      </c>
      <c r="B6680" t="s">
        <v>67</v>
      </c>
      <c r="C6680" s="2">
        <f>HYPERLINK("https://sao.dolgi.msk.ru/account/1404088189/", 1404088189)</f>
        <v>1404088189</v>
      </c>
      <c r="D6680">
        <v>24161.43</v>
      </c>
    </row>
    <row r="6681" spans="1:4" hidden="1" x14ac:dyDescent="0.25">
      <c r="A6681" t="s">
        <v>677</v>
      </c>
      <c r="B6681" t="s">
        <v>68</v>
      </c>
      <c r="C6681" s="2">
        <f>HYPERLINK("https://sao.dolgi.msk.ru/account/1404085199/", 1404085199)</f>
        <v>1404085199</v>
      </c>
      <c r="D6681">
        <v>-5193.57</v>
      </c>
    </row>
    <row r="6682" spans="1:4" hidden="1" x14ac:dyDescent="0.25">
      <c r="A6682" t="s">
        <v>677</v>
      </c>
      <c r="B6682" t="s">
        <v>69</v>
      </c>
      <c r="C6682" s="2">
        <f>HYPERLINK("https://sao.dolgi.msk.ru/account/1404083337/", 1404083337)</f>
        <v>1404083337</v>
      </c>
      <c r="D6682">
        <v>-7145.61</v>
      </c>
    </row>
    <row r="6683" spans="1:4" hidden="1" x14ac:dyDescent="0.25">
      <c r="A6683" t="s">
        <v>677</v>
      </c>
      <c r="B6683" t="s">
        <v>70</v>
      </c>
      <c r="C6683" s="2">
        <f>HYPERLINK("https://sao.dolgi.msk.ru/account/1404083927/", 1404083927)</f>
        <v>1404083927</v>
      </c>
      <c r="D6683">
        <v>0</v>
      </c>
    </row>
    <row r="6684" spans="1:4" hidden="1" x14ac:dyDescent="0.25">
      <c r="A6684" t="s">
        <v>677</v>
      </c>
      <c r="B6684" t="s">
        <v>71</v>
      </c>
      <c r="C6684" s="2">
        <f>HYPERLINK("https://sao.dolgi.msk.ru/account/1404091046/", 1404091046)</f>
        <v>1404091046</v>
      </c>
      <c r="D6684">
        <v>-6739.63</v>
      </c>
    </row>
    <row r="6685" spans="1:4" hidden="1" x14ac:dyDescent="0.25">
      <c r="A6685" t="s">
        <v>677</v>
      </c>
      <c r="B6685" t="s">
        <v>72</v>
      </c>
      <c r="C6685" s="2">
        <f>HYPERLINK("https://sao.dolgi.msk.ru/account/1404087557/", 1404087557)</f>
        <v>1404087557</v>
      </c>
      <c r="D6685">
        <v>0</v>
      </c>
    </row>
    <row r="6686" spans="1:4" hidden="1" x14ac:dyDescent="0.25">
      <c r="A6686" t="s">
        <v>677</v>
      </c>
      <c r="B6686" t="s">
        <v>73</v>
      </c>
      <c r="C6686" s="2">
        <f>HYPERLINK("https://sao.dolgi.msk.ru/account/1404085842/", 1404085842)</f>
        <v>1404085842</v>
      </c>
      <c r="D6686">
        <v>-6220.51</v>
      </c>
    </row>
    <row r="6687" spans="1:4" hidden="1" x14ac:dyDescent="0.25">
      <c r="A6687" t="s">
        <v>677</v>
      </c>
      <c r="B6687" t="s">
        <v>74</v>
      </c>
      <c r="C6687" s="2">
        <f>HYPERLINK("https://sao.dolgi.msk.ru/account/1404082975/", 1404082975)</f>
        <v>1404082975</v>
      </c>
      <c r="D6687">
        <v>-6009.7</v>
      </c>
    </row>
    <row r="6688" spans="1:4" hidden="1" x14ac:dyDescent="0.25">
      <c r="A6688" t="s">
        <v>677</v>
      </c>
      <c r="B6688" t="s">
        <v>75</v>
      </c>
      <c r="C6688" s="2">
        <f>HYPERLINK("https://sao.dolgi.msk.ru/account/1404088541/", 1404088541)</f>
        <v>1404088541</v>
      </c>
      <c r="D6688">
        <v>-4861.16</v>
      </c>
    </row>
    <row r="6689" spans="1:4" hidden="1" x14ac:dyDescent="0.25">
      <c r="A6689" t="s">
        <v>677</v>
      </c>
      <c r="B6689" t="s">
        <v>76</v>
      </c>
      <c r="C6689" s="2">
        <f>HYPERLINK("https://sao.dolgi.msk.ru/account/1404087696/", 1404087696)</f>
        <v>1404087696</v>
      </c>
      <c r="D6689">
        <v>-8540.0499999999993</v>
      </c>
    </row>
    <row r="6690" spans="1:4" hidden="1" x14ac:dyDescent="0.25">
      <c r="A6690" t="s">
        <v>677</v>
      </c>
      <c r="B6690" t="s">
        <v>77</v>
      </c>
      <c r="C6690" s="2">
        <f>HYPERLINK("https://sao.dolgi.msk.ru/account/1404084719/", 1404084719)</f>
        <v>1404084719</v>
      </c>
      <c r="D6690">
        <v>-6142.78</v>
      </c>
    </row>
    <row r="6691" spans="1:4" hidden="1" x14ac:dyDescent="0.25">
      <c r="A6691" t="s">
        <v>677</v>
      </c>
      <c r="B6691" t="s">
        <v>78</v>
      </c>
      <c r="C6691" s="2">
        <f>HYPERLINK("https://sao.dolgi.msk.ru/account/1404090721/", 1404090721)</f>
        <v>1404090721</v>
      </c>
      <c r="D6691">
        <v>-1531.96</v>
      </c>
    </row>
    <row r="6692" spans="1:4" hidden="1" x14ac:dyDescent="0.25">
      <c r="A6692" t="s">
        <v>677</v>
      </c>
      <c r="B6692" t="s">
        <v>79</v>
      </c>
      <c r="C6692" s="2">
        <f>HYPERLINK("https://sao.dolgi.msk.ru/account/1404084081/", 1404084081)</f>
        <v>1404084081</v>
      </c>
      <c r="D6692">
        <v>-5589.71</v>
      </c>
    </row>
    <row r="6693" spans="1:4" hidden="1" x14ac:dyDescent="0.25">
      <c r="A6693" t="s">
        <v>677</v>
      </c>
      <c r="B6693" t="s">
        <v>80</v>
      </c>
      <c r="C6693" s="2">
        <f>HYPERLINK("https://sao.dolgi.msk.ru/account/1404086386/", 1404086386)</f>
        <v>1404086386</v>
      </c>
      <c r="D6693">
        <v>0</v>
      </c>
    </row>
    <row r="6694" spans="1:4" x14ac:dyDescent="0.25">
      <c r="A6694" t="s">
        <v>677</v>
      </c>
      <c r="B6694" t="s">
        <v>81</v>
      </c>
      <c r="C6694" s="2">
        <f>HYPERLINK("https://sao.dolgi.msk.ru/account/1404084241/", 1404084241)</f>
        <v>1404084241</v>
      </c>
      <c r="D6694">
        <v>5797.38</v>
      </c>
    </row>
    <row r="6695" spans="1:4" hidden="1" x14ac:dyDescent="0.25">
      <c r="A6695" t="s">
        <v>677</v>
      </c>
      <c r="B6695" t="s">
        <v>82</v>
      </c>
      <c r="C6695" s="2">
        <f>HYPERLINK("https://sao.dolgi.msk.ru/account/1404082836/", 1404082836)</f>
        <v>1404082836</v>
      </c>
      <c r="D6695">
        <v>-3112.83</v>
      </c>
    </row>
    <row r="6696" spans="1:4" hidden="1" x14ac:dyDescent="0.25">
      <c r="A6696" t="s">
        <v>677</v>
      </c>
      <c r="B6696" t="s">
        <v>83</v>
      </c>
      <c r="C6696" s="2">
        <f>HYPERLINK("https://sao.dolgi.msk.ru/account/1404085113/", 1404085113)</f>
        <v>1404085113</v>
      </c>
      <c r="D6696">
        <v>0</v>
      </c>
    </row>
    <row r="6697" spans="1:4" hidden="1" x14ac:dyDescent="0.25">
      <c r="A6697" t="s">
        <v>677</v>
      </c>
      <c r="B6697" t="s">
        <v>84</v>
      </c>
      <c r="C6697" s="2">
        <f>HYPERLINK("https://sao.dolgi.msk.ru/account/1404084938/", 1404084938)</f>
        <v>1404084938</v>
      </c>
      <c r="D6697">
        <v>-3601.62</v>
      </c>
    </row>
    <row r="6698" spans="1:4" hidden="1" x14ac:dyDescent="0.25">
      <c r="A6698" t="s">
        <v>677</v>
      </c>
      <c r="B6698" t="s">
        <v>85</v>
      </c>
      <c r="C6698" s="2">
        <f>HYPERLINK("https://sao.dolgi.msk.ru/account/1404083919/", 1404083919)</f>
        <v>1404083919</v>
      </c>
      <c r="D6698">
        <v>0</v>
      </c>
    </row>
    <row r="6699" spans="1:4" hidden="1" x14ac:dyDescent="0.25">
      <c r="A6699" t="s">
        <v>677</v>
      </c>
      <c r="B6699" t="s">
        <v>86</v>
      </c>
      <c r="C6699" s="2">
        <f>HYPERLINK("https://sao.dolgi.msk.ru/account/1404088947/", 1404088947)</f>
        <v>1404088947</v>
      </c>
      <c r="D6699">
        <v>-7210.05</v>
      </c>
    </row>
    <row r="6700" spans="1:4" hidden="1" x14ac:dyDescent="0.25">
      <c r="A6700" t="s">
        <v>677</v>
      </c>
      <c r="B6700" t="s">
        <v>87</v>
      </c>
      <c r="C6700" s="2">
        <f>HYPERLINK("https://sao.dolgi.msk.ru/account/1404083409/", 1404083409)</f>
        <v>1404083409</v>
      </c>
      <c r="D6700">
        <v>-4720.12</v>
      </c>
    </row>
    <row r="6701" spans="1:4" hidden="1" x14ac:dyDescent="0.25">
      <c r="A6701" t="s">
        <v>677</v>
      </c>
      <c r="B6701" t="s">
        <v>88</v>
      </c>
      <c r="C6701" s="2">
        <f>HYPERLINK("https://sao.dolgi.msk.ru/account/1404085922/", 1404085922)</f>
        <v>1404085922</v>
      </c>
      <c r="D6701">
        <v>-5901.4</v>
      </c>
    </row>
    <row r="6702" spans="1:4" hidden="1" x14ac:dyDescent="0.25">
      <c r="A6702" t="s">
        <v>677</v>
      </c>
      <c r="B6702" t="s">
        <v>89</v>
      </c>
      <c r="C6702" s="2">
        <f>HYPERLINK("https://sao.dolgi.msk.ru/account/1404082828/", 1404082828)</f>
        <v>1404082828</v>
      </c>
      <c r="D6702">
        <v>-5069.3599999999997</v>
      </c>
    </row>
    <row r="6703" spans="1:4" hidden="1" x14ac:dyDescent="0.25">
      <c r="A6703" t="s">
        <v>677</v>
      </c>
      <c r="B6703" t="s">
        <v>90</v>
      </c>
      <c r="C6703" s="2">
        <f>HYPERLINK("https://sao.dolgi.msk.ru/account/1404087151/", 1404087151)</f>
        <v>1404087151</v>
      </c>
      <c r="D6703">
        <v>0</v>
      </c>
    </row>
    <row r="6704" spans="1:4" hidden="1" x14ac:dyDescent="0.25">
      <c r="A6704" t="s">
        <v>677</v>
      </c>
      <c r="B6704" t="s">
        <v>91</v>
      </c>
      <c r="C6704" s="2">
        <f>HYPERLINK("https://sao.dolgi.msk.ru/account/1404090908/", 1404090908)</f>
        <v>1404090908</v>
      </c>
      <c r="D6704">
        <v>-8433.3700000000008</v>
      </c>
    </row>
    <row r="6705" spans="1:4" hidden="1" x14ac:dyDescent="0.25">
      <c r="A6705" t="s">
        <v>677</v>
      </c>
      <c r="B6705" t="s">
        <v>92</v>
      </c>
      <c r="C6705" s="2">
        <f>HYPERLINK("https://sao.dolgi.msk.ru/account/1404083329/", 1404083329)</f>
        <v>1404083329</v>
      </c>
      <c r="D6705">
        <v>0</v>
      </c>
    </row>
    <row r="6706" spans="1:4" hidden="1" x14ac:dyDescent="0.25">
      <c r="A6706" t="s">
        <v>677</v>
      </c>
      <c r="B6706" t="s">
        <v>93</v>
      </c>
      <c r="C6706" s="2">
        <f>HYPERLINK("https://sao.dolgi.msk.ru/account/1404085332/", 1404085332)</f>
        <v>1404085332</v>
      </c>
      <c r="D6706">
        <v>-569.55999999999995</v>
      </c>
    </row>
    <row r="6707" spans="1:4" hidden="1" x14ac:dyDescent="0.25">
      <c r="A6707" t="s">
        <v>677</v>
      </c>
      <c r="B6707" t="s">
        <v>94</v>
      </c>
      <c r="C6707" s="2">
        <f>HYPERLINK("https://sao.dolgi.msk.ru/account/1404090035/", 1404090035)</f>
        <v>1404090035</v>
      </c>
      <c r="D6707">
        <v>0</v>
      </c>
    </row>
    <row r="6708" spans="1:4" hidden="1" x14ac:dyDescent="0.25">
      <c r="A6708" t="s">
        <v>677</v>
      </c>
      <c r="B6708" t="s">
        <v>95</v>
      </c>
      <c r="C6708" s="2">
        <f>HYPERLINK("https://sao.dolgi.msk.ru/account/1404085949/", 1404085949)</f>
        <v>1404085949</v>
      </c>
      <c r="D6708">
        <v>-6538.77</v>
      </c>
    </row>
    <row r="6709" spans="1:4" hidden="1" x14ac:dyDescent="0.25">
      <c r="A6709" t="s">
        <v>677</v>
      </c>
      <c r="B6709" t="s">
        <v>96</v>
      </c>
      <c r="C6709" s="2">
        <f>HYPERLINK("https://sao.dolgi.msk.ru/account/1404083521/", 1404083521)</f>
        <v>1404083521</v>
      </c>
      <c r="D6709">
        <v>-4366.17</v>
      </c>
    </row>
    <row r="6710" spans="1:4" hidden="1" x14ac:dyDescent="0.25">
      <c r="A6710" t="s">
        <v>677</v>
      </c>
      <c r="B6710" t="s">
        <v>97</v>
      </c>
      <c r="C6710" s="2">
        <f>HYPERLINK("https://sao.dolgi.msk.ru/account/1404090916/", 1404090916)</f>
        <v>1404090916</v>
      </c>
      <c r="D6710">
        <v>-4506.17</v>
      </c>
    </row>
    <row r="6711" spans="1:4" hidden="1" x14ac:dyDescent="0.25">
      <c r="A6711" t="s">
        <v>677</v>
      </c>
      <c r="B6711" t="s">
        <v>98</v>
      </c>
      <c r="C6711" s="2">
        <f>HYPERLINK("https://sao.dolgi.msk.ru/account/1404086087/", 1404086087)</f>
        <v>1404086087</v>
      </c>
      <c r="D6711">
        <v>-8822.35</v>
      </c>
    </row>
    <row r="6712" spans="1:4" hidden="1" x14ac:dyDescent="0.25">
      <c r="A6712" t="s">
        <v>677</v>
      </c>
      <c r="B6712" t="s">
        <v>99</v>
      </c>
      <c r="C6712" s="2">
        <f>HYPERLINK("https://sao.dolgi.msk.ru/account/1404082561/", 1404082561)</f>
        <v>1404082561</v>
      </c>
      <c r="D6712">
        <v>-6843.47</v>
      </c>
    </row>
    <row r="6713" spans="1:4" hidden="1" x14ac:dyDescent="0.25">
      <c r="A6713" t="s">
        <v>677</v>
      </c>
      <c r="B6713" t="s">
        <v>100</v>
      </c>
      <c r="C6713" s="2">
        <f>HYPERLINK("https://sao.dolgi.msk.ru/account/1404088533/", 1404088533)</f>
        <v>1404088533</v>
      </c>
      <c r="D6713">
        <v>-10204.31</v>
      </c>
    </row>
    <row r="6714" spans="1:4" hidden="1" x14ac:dyDescent="0.25">
      <c r="A6714" t="s">
        <v>677</v>
      </c>
      <c r="B6714" t="s">
        <v>101</v>
      </c>
      <c r="C6714" s="2">
        <f>HYPERLINK("https://sao.dolgi.msk.ru/account/1404088453/", 1404088453)</f>
        <v>1404088453</v>
      </c>
      <c r="D6714">
        <v>-4989.9799999999996</v>
      </c>
    </row>
    <row r="6715" spans="1:4" hidden="1" x14ac:dyDescent="0.25">
      <c r="A6715" t="s">
        <v>677</v>
      </c>
      <c r="B6715" t="s">
        <v>102</v>
      </c>
      <c r="C6715" s="2">
        <f>HYPERLINK("https://sao.dolgi.msk.ru/account/1404085156/", 1404085156)</f>
        <v>1404085156</v>
      </c>
      <c r="D6715">
        <v>-5611.15</v>
      </c>
    </row>
    <row r="6716" spans="1:4" hidden="1" x14ac:dyDescent="0.25">
      <c r="A6716" t="s">
        <v>677</v>
      </c>
      <c r="B6716" t="s">
        <v>103</v>
      </c>
      <c r="C6716" s="2">
        <f>HYPERLINK("https://sao.dolgi.msk.ru/account/1404083513/", 1404083513)</f>
        <v>1404083513</v>
      </c>
      <c r="D6716">
        <v>-6464.83</v>
      </c>
    </row>
    <row r="6717" spans="1:4" hidden="1" x14ac:dyDescent="0.25">
      <c r="A6717" t="s">
        <v>677</v>
      </c>
      <c r="B6717" t="s">
        <v>104</v>
      </c>
      <c r="C6717" s="2">
        <f>HYPERLINK("https://sao.dolgi.msk.ru/account/1404090684/", 1404090684)</f>
        <v>1404090684</v>
      </c>
      <c r="D6717">
        <v>-8184.22</v>
      </c>
    </row>
    <row r="6718" spans="1:4" hidden="1" x14ac:dyDescent="0.25">
      <c r="A6718" t="s">
        <v>677</v>
      </c>
      <c r="B6718" t="s">
        <v>105</v>
      </c>
      <c r="C6718" s="2">
        <f>HYPERLINK("https://sao.dolgi.msk.ru/account/1404089237/", 1404089237)</f>
        <v>1404089237</v>
      </c>
      <c r="D6718">
        <v>-632.4</v>
      </c>
    </row>
    <row r="6719" spans="1:4" hidden="1" x14ac:dyDescent="0.25">
      <c r="A6719" t="s">
        <v>677</v>
      </c>
      <c r="B6719" t="s">
        <v>106</v>
      </c>
      <c r="C6719" s="2">
        <f>HYPERLINK("https://sao.dolgi.msk.ru/account/1404082844/", 1404082844)</f>
        <v>1404082844</v>
      </c>
      <c r="D6719">
        <v>-7822.2</v>
      </c>
    </row>
    <row r="6720" spans="1:4" hidden="1" x14ac:dyDescent="0.25">
      <c r="A6720" t="s">
        <v>677</v>
      </c>
      <c r="B6720" t="s">
        <v>107</v>
      </c>
      <c r="C6720" s="2">
        <f>HYPERLINK("https://sao.dolgi.msk.ru/account/1404089878/", 1404089878)</f>
        <v>1404089878</v>
      </c>
      <c r="D6720">
        <v>0</v>
      </c>
    </row>
    <row r="6721" spans="1:4" hidden="1" x14ac:dyDescent="0.25">
      <c r="A6721" t="s">
        <v>677</v>
      </c>
      <c r="B6721" t="s">
        <v>108</v>
      </c>
      <c r="C6721" s="2">
        <f>HYPERLINK("https://sao.dolgi.msk.ru/account/1404083636/", 1404083636)</f>
        <v>1404083636</v>
      </c>
      <c r="D6721">
        <v>0</v>
      </c>
    </row>
    <row r="6722" spans="1:4" x14ac:dyDescent="0.25">
      <c r="A6722" t="s">
        <v>677</v>
      </c>
      <c r="B6722" t="s">
        <v>109</v>
      </c>
      <c r="C6722" s="2">
        <f>HYPERLINK("https://sao.dolgi.msk.ru/account/1404090262/", 1404090262)</f>
        <v>1404090262</v>
      </c>
      <c r="D6722">
        <v>5168.88</v>
      </c>
    </row>
    <row r="6723" spans="1:4" hidden="1" x14ac:dyDescent="0.25">
      <c r="A6723" t="s">
        <v>677</v>
      </c>
      <c r="B6723" t="s">
        <v>110</v>
      </c>
      <c r="C6723" s="2">
        <f>HYPERLINK("https://sao.dolgi.msk.ru/account/1404088269/", 1404088269)</f>
        <v>1404088269</v>
      </c>
      <c r="D6723">
        <v>0</v>
      </c>
    </row>
    <row r="6724" spans="1:4" hidden="1" x14ac:dyDescent="0.25">
      <c r="A6724" t="s">
        <v>677</v>
      </c>
      <c r="B6724" t="s">
        <v>111</v>
      </c>
      <c r="C6724" s="2">
        <f>HYPERLINK("https://sao.dolgi.msk.ru/account/1404082465/", 1404082465)</f>
        <v>1404082465</v>
      </c>
      <c r="D6724">
        <v>-3343.11</v>
      </c>
    </row>
    <row r="6725" spans="1:4" hidden="1" x14ac:dyDescent="0.25">
      <c r="A6725" t="s">
        <v>677</v>
      </c>
      <c r="B6725" t="s">
        <v>112</v>
      </c>
      <c r="C6725" s="2">
        <f>HYPERLINK("https://sao.dolgi.msk.ru/account/1404084946/", 1404084946)</f>
        <v>1404084946</v>
      </c>
      <c r="D6725">
        <v>-4621.6499999999996</v>
      </c>
    </row>
    <row r="6726" spans="1:4" hidden="1" x14ac:dyDescent="0.25">
      <c r="A6726" t="s">
        <v>677</v>
      </c>
      <c r="B6726" t="s">
        <v>113</v>
      </c>
      <c r="C6726" s="2">
        <f>HYPERLINK("https://sao.dolgi.msk.ru/account/1404089974/", 1404089974)</f>
        <v>1404089974</v>
      </c>
      <c r="D6726">
        <v>0</v>
      </c>
    </row>
    <row r="6727" spans="1:4" x14ac:dyDescent="0.25">
      <c r="A6727" t="s">
        <v>677</v>
      </c>
      <c r="B6727" t="s">
        <v>114</v>
      </c>
      <c r="C6727" s="2">
        <f>HYPERLINK("https://sao.dolgi.msk.ru/account/1404082668/", 1404082668)</f>
        <v>1404082668</v>
      </c>
      <c r="D6727">
        <v>22695.98</v>
      </c>
    </row>
    <row r="6728" spans="1:4" x14ac:dyDescent="0.25">
      <c r="A6728" t="s">
        <v>677</v>
      </c>
      <c r="B6728" t="s">
        <v>115</v>
      </c>
      <c r="C6728" s="2">
        <f>HYPERLINK("https://sao.dolgi.msk.ru/account/1404083089/", 1404083089)</f>
        <v>1404083089</v>
      </c>
      <c r="D6728">
        <v>54378.53</v>
      </c>
    </row>
    <row r="6729" spans="1:4" hidden="1" x14ac:dyDescent="0.25">
      <c r="A6729" t="s">
        <v>677</v>
      </c>
      <c r="B6729" t="s">
        <v>116</v>
      </c>
      <c r="C6729" s="2">
        <f>HYPERLINK("https://sao.dolgi.msk.ru/account/1404084233/", 1404084233)</f>
        <v>1404084233</v>
      </c>
      <c r="D6729">
        <v>0</v>
      </c>
    </row>
    <row r="6730" spans="1:4" hidden="1" x14ac:dyDescent="0.25">
      <c r="A6730" t="s">
        <v>677</v>
      </c>
      <c r="B6730" t="s">
        <v>117</v>
      </c>
      <c r="C6730" s="2">
        <f>HYPERLINK("https://sao.dolgi.msk.ru/account/1404089587/", 1404089587)</f>
        <v>1404089587</v>
      </c>
      <c r="D6730">
        <v>-6190.76</v>
      </c>
    </row>
    <row r="6731" spans="1:4" hidden="1" x14ac:dyDescent="0.25">
      <c r="A6731" t="s">
        <v>677</v>
      </c>
      <c r="B6731" t="s">
        <v>118</v>
      </c>
      <c r="C6731" s="2">
        <f>HYPERLINK("https://sao.dolgi.msk.ru/account/1404083476/", 1404083476)</f>
        <v>1404083476</v>
      </c>
      <c r="D6731">
        <v>-5207.37</v>
      </c>
    </row>
    <row r="6732" spans="1:4" hidden="1" x14ac:dyDescent="0.25">
      <c r="A6732" t="s">
        <v>677</v>
      </c>
      <c r="B6732" t="s">
        <v>119</v>
      </c>
      <c r="C6732" s="2">
        <f>HYPERLINK("https://sao.dolgi.msk.ru/account/1404091329/", 1404091329)</f>
        <v>1404091329</v>
      </c>
      <c r="D6732">
        <v>-9707.0499999999993</v>
      </c>
    </row>
    <row r="6733" spans="1:4" hidden="1" x14ac:dyDescent="0.25">
      <c r="A6733" t="s">
        <v>677</v>
      </c>
      <c r="B6733" t="s">
        <v>120</v>
      </c>
      <c r="C6733" s="2">
        <f>HYPERLINK("https://sao.dolgi.msk.ru/account/1404088103/", 1404088103)</f>
        <v>1404088103</v>
      </c>
      <c r="D6733">
        <v>-727.54</v>
      </c>
    </row>
    <row r="6734" spans="1:4" x14ac:dyDescent="0.25">
      <c r="A6734" t="s">
        <v>677</v>
      </c>
      <c r="B6734" t="s">
        <v>121</v>
      </c>
      <c r="C6734" s="2">
        <f>HYPERLINK("https://sao.dolgi.msk.ru/account/1404090748/", 1404090748)</f>
        <v>1404090748</v>
      </c>
      <c r="D6734">
        <v>91171.91</v>
      </c>
    </row>
    <row r="6735" spans="1:4" hidden="1" x14ac:dyDescent="0.25">
      <c r="A6735" t="s">
        <v>677</v>
      </c>
      <c r="B6735" t="s">
        <v>122</v>
      </c>
      <c r="C6735" s="2">
        <f>HYPERLINK("https://sao.dolgi.msk.ru/account/1404087813/", 1404087813)</f>
        <v>1404087813</v>
      </c>
      <c r="D6735">
        <v>-1421.4</v>
      </c>
    </row>
    <row r="6736" spans="1:4" x14ac:dyDescent="0.25">
      <c r="A6736" t="s">
        <v>677</v>
      </c>
      <c r="B6736" t="s">
        <v>123</v>
      </c>
      <c r="C6736" s="2">
        <f>HYPERLINK("https://sao.dolgi.msk.ru/account/1404087389/", 1404087389)</f>
        <v>1404087389</v>
      </c>
      <c r="D6736">
        <v>7233.41</v>
      </c>
    </row>
    <row r="6737" spans="1:4" hidden="1" x14ac:dyDescent="0.25">
      <c r="A6737" t="s">
        <v>677</v>
      </c>
      <c r="B6737" t="s">
        <v>124</v>
      </c>
      <c r="C6737" s="2">
        <f>HYPERLINK("https://sao.dolgi.msk.ru/account/1404089333/", 1404089333)</f>
        <v>1404089333</v>
      </c>
      <c r="D6737">
        <v>0</v>
      </c>
    </row>
    <row r="6738" spans="1:4" x14ac:dyDescent="0.25">
      <c r="A6738" t="s">
        <v>677</v>
      </c>
      <c r="B6738" t="s">
        <v>125</v>
      </c>
      <c r="C6738" s="2">
        <f>HYPERLINK("https://sao.dolgi.msk.ru/account/1404086271/", 1404086271)</f>
        <v>1404086271</v>
      </c>
      <c r="D6738">
        <v>1112.68</v>
      </c>
    </row>
    <row r="6739" spans="1:4" x14ac:dyDescent="0.25">
      <c r="A6739" t="s">
        <v>677</v>
      </c>
      <c r="B6739" t="s">
        <v>126</v>
      </c>
      <c r="C6739" s="2">
        <f>HYPERLINK("https://sao.dolgi.msk.ru/account/1404086773/", 1404086773)</f>
        <v>1404086773</v>
      </c>
      <c r="D6739">
        <v>20138.7</v>
      </c>
    </row>
    <row r="6740" spans="1:4" hidden="1" x14ac:dyDescent="0.25">
      <c r="A6740" t="s">
        <v>677</v>
      </c>
      <c r="B6740" t="s">
        <v>127</v>
      </c>
      <c r="C6740" s="2">
        <f>HYPERLINK("https://sao.dolgi.msk.ru/account/1404085025/", 1404085025)</f>
        <v>1404085025</v>
      </c>
      <c r="D6740">
        <v>-6369.06</v>
      </c>
    </row>
    <row r="6741" spans="1:4" hidden="1" x14ac:dyDescent="0.25">
      <c r="A6741" t="s">
        <v>677</v>
      </c>
      <c r="B6741" t="s">
        <v>128</v>
      </c>
      <c r="C6741" s="2">
        <f>HYPERLINK("https://sao.dolgi.msk.ru/account/1404084452/", 1404084452)</f>
        <v>1404084452</v>
      </c>
      <c r="D6741">
        <v>-8682.64</v>
      </c>
    </row>
    <row r="6742" spans="1:4" hidden="1" x14ac:dyDescent="0.25">
      <c r="A6742" t="s">
        <v>677</v>
      </c>
      <c r="B6742" t="s">
        <v>129</v>
      </c>
      <c r="C6742" s="2">
        <f>HYPERLINK("https://sao.dolgi.msk.ru/account/1404083994/", 1404083994)</f>
        <v>1404083994</v>
      </c>
      <c r="D6742">
        <v>-878.52</v>
      </c>
    </row>
    <row r="6743" spans="1:4" hidden="1" x14ac:dyDescent="0.25">
      <c r="A6743" t="s">
        <v>677</v>
      </c>
      <c r="B6743" t="s">
        <v>130</v>
      </c>
      <c r="C6743" s="2">
        <f>HYPERLINK("https://sao.dolgi.msk.ru/account/1404084815/", 1404084815)</f>
        <v>1404084815</v>
      </c>
      <c r="D6743">
        <v>-5797.83</v>
      </c>
    </row>
    <row r="6744" spans="1:4" hidden="1" x14ac:dyDescent="0.25">
      <c r="A6744" t="s">
        <v>677</v>
      </c>
      <c r="B6744" t="s">
        <v>131</v>
      </c>
      <c r="C6744" s="2">
        <f>HYPERLINK("https://sao.dolgi.msk.ru/account/1404091134/", 1404091134)</f>
        <v>1404091134</v>
      </c>
      <c r="D6744">
        <v>0</v>
      </c>
    </row>
    <row r="6745" spans="1:4" hidden="1" x14ac:dyDescent="0.25">
      <c r="A6745" t="s">
        <v>677</v>
      </c>
      <c r="B6745" t="s">
        <v>132</v>
      </c>
      <c r="C6745" s="2">
        <f>HYPERLINK("https://sao.dolgi.msk.ru/account/1404091054/", 1404091054)</f>
        <v>1404091054</v>
      </c>
      <c r="D6745">
        <v>0</v>
      </c>
    </row>
    <row r="6746" spans="1:4" hidden="1" x14ac:dyDescent="0.25">
      <c r="A6746" t="s">
        <v>677</v>
      </c>
      <c r="B6746" t="s">
        <v>133</v>
      </c>
      <c r="C6746" s="2">
        <f>HYPERLINK("https://sao.dolgi.msk.ru/account/1404084049/", 1404084049)</f>
        <v>1404084049</v>
      </c>
      <c r="D6746">
        <v>-4164.7299999999996</v>
      </c>
    </row>
    <row r="6747" spans="1:4" hidden="1" x14ac:dyDescent="0.25">
      <c r="A6747" t="s">
        <v>677</v>
      </c>
      <c r="B6747" t="s">
        <v>134</v>
      </c>
      <c r="C6747" s="2">
        <f>HYPERLINK("https://sao.dolgi.msk.ru/account/1404083249/", 1404083249)</f>
        <v>1404083249</v>
      </c>
      <c r="D6747">
        <v>-6053.2</v>
      </c>
    </row>
    <row r="6748" spans="1:4" hidden="1" x14ac:dyDescent="0.25">
      <c r="A6748" t="s">
        <v>677</v>
      </c>
      <c r="B6748" t="s">
        <v>135</v>
      </c>
      <c r="C6748" s="2">
        <f>HYPERLINK("https://sao.dolgi.msk.ru/account/1404089384/", 1404089384)</f>
        <v>1404089384</v>
      </c>
      <c r="D6748">
        <v>0</v>
      </c>
    </row>
    <row r="6749" spans="1:4" hidden="1" x14ac:dyDescent="0.25">
      <c r="A6749" t="s">
        <v>677</v>
      </c>
      <c r="B6749" t="s">
        <v>136</v>
      </c>
      <c r="C6749" s="2">
        <f>HYPERLINK("https://sao.dolgi.msk.ru/account/1404083142/", 1404083142)</f>
        <v>1404083142</v>
      </c>
      <c r="D6749">
        <v>-4956.07</v>
      </c>
    </row>
    <row r="6750" spans="1:4" hidden="1" x14ac:dyDescent="0.25">
      <c r="A6750" t="s">
        <v>677</v>
      </c>
      <c r="B6750" t="s">
        <v>137</v>
      </c>
      <c r="C6750" s="2">
        <f>HYPERLINK("https://sao.dolgi.msk.ru/account/1404088525/", 1404088525)</f>
        <v>1404088525</v>
      </c>
      <c r="D6750">
        <v>-3625.15</v>
      </c>
    </row>
    <row r="6751" spans="1:4" hidden="1" x14ac:dyDescent="0.25">
      <c r="A6751" t="s">
        <v>677</v>
      </c>
      <c r="B6751" t="s">
        <v>138</v>
      </c>
      <c r="C6751" s="2">
        <f>HYPERLINK("https://sao.dolgi.msk.ru/account/1404090342/", 1404090342)</f>
        <v>1404090342</v>
      </c>
      <c r="D6751">
        <v>0</v>
      </c>
    </row>
    <row r="6752" spans="1:4" hidden="1" x14ac:dyDescent="0.25">
      <c r="A6752" t="s">
        <v>677</v>
      </c>
      <c r="B6752" t="s">
        <v>139</v>
      </c>
      <c r="C6752" s="2">
        <f>HYPERLINK("https://sao.dolgi.msk.ru/account/1404087944/", 1404087944)</f>
        <v>1404087944</v>
      </c>
      <c r="D6752">
        <v>-71.98</v>
      </c>
    </row>
    <row r="6753" spans="1:4" hidden="1" x14ac:dyDescent="0.25">
      <c r="A6753" t="s">
        <v>677</v>
      </c>
      <c r="B6753" t="s">
        <v>140</v>
      </c>
      <c r="C6753" s="2">
        <f>HYPERLINK("https://sao.dolgi.msk.ru/account/1404086992/", 1404086992)</f>
        <v>1404086992</v>
      </c>
      <c r="D6753">
        <v>-7166.67</v>
      </c>
    </row>
    <row r="6754" spans="1:4" hidden="1" x14ac:dyDescent="0.25">
      <c r="A6754" t="s">
        <v>677</v>
      </c>
      <c r="B6754" t="s">
        <v>141</v>
      </c>
      <c r="C6754" s="2">
        <f>HYPERLINK("https://sao.dolgi.msk.ru/account/1404088306/", 1404088306)</f>
        <v>1404088306</v>
      </c>
      <c r="D6754">
        <v>-6590.09</v>
      </c>
    </row>
    <row r="6755" spans="1:4" hidden="1" x14ac:dyDescent="0.25">
      <c r="A6755" t="s">
        <v>677</v>
      </c>
      <c r="B6755" t="s">
        <v>142</v>
      </c>
      <c r="C6755" s="2">
        <f>HYPERLINK("https://sao.dolgi.msk.ru/account/1404100096/", 1404100096)</f>
        <v>1404100096</v>
      </c>
      <c r="D6755">
        <v>0</v>
      </c>
    </row>
    <row r="6756" spans="1:4" hidden="1" x14ac:dyDescent="0.25">
      <c r="A6756" t="s">
        <v>677</v>
      </c>
      <c r="B6756" t="s">
        <v>142</v>
      </c>
      <c r="C6756" s="2">
        <f>HYPERLINK("https://sao.dolgi.msk.ru/account/1404149607/", 1404149607)</f>
        <v>1404149607</v>
      </c>
      <c r="D6756">
        <v>-6708.54</v>
      </c>
    </row>
    <row r="6757" spans="1:4" hidden="1" x14ac:dyDescent="0.25">
      <c r="A6757" t="s">
        <v>677</v>
      </c>
      <c r="B6757" t="s">
        <v>143</v>
      </c>
      <c r="C6757" s="2">
        <f>HYPERLINK("https://sao.dolgi.msk.ru/account/1404083468/", 1404083468)</f>
        <v>1404083468</v>
      </c>
      <c r="D6757">
        <v>-5554.58</v>
      </c>
    </row>
    <row r="6758" spans="1:4" hidden="1" x14ac:dyDescent="0.25">
      <c r="A6758" t="s">
        <v>677</v>
      </c>
      <c r="B6758" t="s">
        <v>144</v>
      </c>
      <c r="C6758" s="2">
        <f>HYPERLINK("https://sao.dolgi.msk.ru/account/1404089309/", 1404089309)</f>
        <v>1404089309</v>
      </c>
      <c r="D6758">
        <v>-5330.51</v>
      </c>
    </row>
    <row r="6759" spans="1:4" hidden="1" x14ac:dyDescent="0.25">
      <c r="A6759" t="s">
        <v>677</v>
      </c>
      <c r="B6759" t="s">
        <v>145</v>
      </c>
      <c r="C6759" s="2">
        <f>HYPERLINK("https://sao.dolgi.msk.ru/account/1404085121/", 1404085121)</f>
        <v>1404085121</v>
      </c>
      <c r="D6759">
        <v>-7076.15</v>
      </c>
    </row>
    <row r="6760" spans="1:4" hidden="1" x14ac:dyDescent="0.25">
      <c r="A6760" t="s">
        <v>677</v>
      </c>
      <c r="B6760" t="s">
        <v>146</v>
      </c>
      <c r="C6760" s="2">
        <f>HYPERLINK("https://sao.dolgi.msk.ru/account/1404091169/", 1404091169)</f>
        <v>1404091169</v>
      </c>
      <c r="D6760">
        <v>-978.68</v>
      </c>
    </row>
    <row r="6761" spans="1:4" hidden="1" x14ac:dyDescent="0.25">
      <c r="A6761" t="s">
        <v>677</v>
      </c>
      <c r="B6761" t="s">
        <v>147</v>
      </c>
      <c r="C6761" s="2">
        <f>HYPERLINK("https://sao.dolgi.msk.ru/account/1404086298/", 1404086298)</f>
        <v>1404086298</v>
      </c>
      <c r="D6761">
        <v>-1931.1</v>
      </c>
    </row>
    <row r="6762" spans="1:4" x14ac:dyDescent="0.25">
      <c r="A6762" t="s">
        <v>677</v>
      </c>
      <c r="B6762" t="s">
        <v>147</v>
      </c>
      <c r="C6762" s="2">
        <f>HYPERLINK("https://sao.dolgi.msk.ru/account/1404090692/", 1404090692)</f>
        <v>1404090692</v>
      </c>
      <c r="D6762">
        <v>3042.82</v>
      </c>
    </row>
    <row r="6763" spans="1:4" hidden="1" x14ac:dyDescent="0.25">
      <c r="A6763" t="s">
        <v>677</v>
      </c>
      <c r="B6763" t="s">
        <v>148</v>
      </c>
      <c r="C6763" s="2">
        <f>HYPERLINK("https://sao.dolgi.msk.ru/account/1404084751/", 1404084751)</f>
        <v>1404084751</v>
      </c>
      <c r="D6763">
        <v>-307.08</v>
      </c>
    </row>
    <row r="6764" spans="1:4" hidden="1" x14ac:dyDescent="0.25">
      <c r="A6764" t="s">
        <v>677</v>
      </c>
      <c r="B6764" t="s">
        <v>149</v>
      </c>
      <c r="C6764" s="2">
        <f>HYPERLINK("https://sao.dolgi.msk.ru/account/1404084022/", 1404084022)</f>
        <v>1404084022</v>
      </c>
      <c r="D6764">
        <v>-4042.99</v>
      </c>
    </row>
    <row r="6765" spans="1:4" hidden="1" x14ac:dyDescent="0.25">
      <c r="A6765" t="s">
        <v>677</v>
      </c>
      <c r="B6765" t="s">
        <v>150</v>
      </c>
      <c r="C6765" s="2">
        <f>HYPERLINK("https://sao.dolgi.msk.ru/account/1404082924/", 1404082924)</f>
        <v>1404082924</v>
      </c>
      <c r="D6765">
        <v>-5816.01</v>
      </c>
    </row>
    <row r="6766" spans="1:4" hidden="1" x14ac:dyDescent="0.25">
      <c r="A6766" t="s">
        <v>677</v>
      </c>
      <c r="B6766" t="s">
        <v>151</v>
      </c>
      <c r="C6766" s="2">
        <f>HYPERLINK("https://sao.dolgi.msk.ru/account/1404083185/", 1404083185)</f>
        <v>1404083185</v>
      </c>
      <c r="D6766">
        <v>0</v>
      </c>
    </row>
    <row r="6767" spans="1:4" hidden="1" x14ac:dyDescent="0.25">
      <c r="A6767" t="s">
        <v>677</v>
      </c>
      <c r="B6767" t="s">
        <v>152</v>
      </c>
      <c r="C6767" s="2">
        <f>HYPERLINK("https://sao.dolgi.msk.ru/account/1404090318/", 1404090318)</f>
        <v>1404090318</v>
      </c>
      <c r="D6767">
        <v>-4679.97</v>
      </c>
    </row>
    <row r="6768" spans="1:4" hidden="1" x14ac:dyDescent="0.25">
      <c r="A6768" t="s">
        <v>677</v>
      </c>
      <c r="B6768" t="s">
        <v>153</v>
      </c>
      <c r="C6768" s="2">
        <f>HYPERLINK("https://sao.dolgi.msk.ru/account/1404087442/", 1404087442)</f>
        <v>1404087442</v>
      </c>
      <c r="D6768">
        <v>-7601.77</v>
      </c>
    </row>
    <row r="6769" spans="1:4" hidden="1" x14ac:dyDescent="0.25">
      <c r="A6769" t="s">
        <v>677</v>
      </c>
      <c r="B6769" t="s">
        <v>154</v>
      </c>
      <c r="C6769" s="2">
        <f>HYPERLINK("https://sao.dolgi.msk.ru/account/1404090764/", 1404090764)</f>
        <v>1404090764</v>
      </c>
      <c r="D6769">
        <v>-5516.8</v>
      </c>
    </row>
    <row r="6770" spans="1:4" x14ac:dyDescent="0.25">
      <c r="A6770" t="s">
        <v>677</v>
      </c>
      <c r="B6770" t="s">
        <v>155</v>
      </c>
      <c r="C6770" s="2">
        <f>HYPERLINK("https://sao.dolgi.msk.ru/account/1404087733/", 1404087733)</f>
        <v>1404087733</v>
      </c>
      <c r="D6770">
        <v>5439.66</v>
      </c>
    </row>
    <row r="6771" spans="1:4" hidden="1" x14ac:dyDescent="0.25">
      <c r="A6771" t="s">
        <v>677</v>
      </c>
      <c r="B6771" t="s">
        <v>156</v>
      </c>
      <c r="C6771" s="2">
        <f>HYPERLINK("https://sao.dolgi.msk.ru/account/1404088322/", 1404088322)</f>
        <v>1404088322</v>
      </c>
      <c r="D6771">
        <v>-11871.17</v>
      </c>
    </row>
    <row r="6772" spans="1:4" hidden="1" x14ac:dyDescent="0.25">
      <c r="A6772" t="s">
        <v>677</v>
      </c>
      <c r="B6772" t="s">
        <v>157</v>
      </c>
      <c r="C6772" s="2">
        <f>HYPERLINK("https://sao.dolgi.msk.ru/account/1404083353/", 1404083353)</f>
        <v>1404083353</v>
      </c>
      <c r="D6772">
        <v>-5282.55</v>
      </c>
    </row>
    <row r="6773" spans="1:4" hidden="1" x14ac:dyDescent="0.25">
      <c r="A6773" t="s">
        <v>677</v>
      </c>
      <c r="B6773" t="s">
        <v>158</v>
      </c>
      <c r="C6773" s="2">
        <f>HYPERLINK("https://sao.dolgi.msk.ru/account/1404084882/", 1404084882)</f>
        <v>1404084882</v>
      </c>
      <c r="D6773">
        <v>-5979.93</v>
      </c>
    </row>
    <row r="6774" spans="1:4" hidden="1" x14ac:dyDescent="0.25">
      <c r="A6774" t="s">
        <v>677</v>
      </c>
      <c r="B6774" t="s">
        <v>159</v>
      </c>
      <c r="C6774" s="2">
        <f>HYPERLINK("https://sao.dolgi.msk.ru/account/1404085383/", 1404085383)</f>
        <v>1404085383</v>
      </c>
      <c r="D6774">
        <v>-9099.0499999999993</v>
      </c>
    </row>
    <row r="6775" spans="1:4" hidden="1" x14ac:dyDescent="0.25">
      <c r="A6775" t="s">
        <v>677</v>
      </c>
      <c r="B6775" t="s">
        <v>160</v>
      </c>
      <c r="C6775" s="2">
        <f>HYPERLINK("https://sao.dolgi.msk.ru/account/1404089077/", 1404089077)</f>
        <v>1404089077</v>
      </c>
      <c r="D6775">
        <v>-6581.25</v>
      </c>
    </row>
    <row r="6776" spans="1:4" x14ac:dyDescent="0.25">
      <c r="A6776" t="s">
        <v>677</v>
      </c>
      <c r="B6776" t="s">
        <v>161</v>
      </c>
      <c r="C6776" s="2">
        <f>HYPERLINK("https://sao.dolgi.msk.ru/account/1404086124/", 1404086124)</f>
        <v>1404086124</v>
      </c>
      <c r="D6776">
        <v>5732.53</v>
      </c>
    </row>
    <row r="6777" spans="1:4" hidden="1" x14ac:dyDescent="0.25">
      <c r="A6777" t="s">
        <v>677</v>
      </c>
      <c r="B6777" t="s">
        <v>162</v>
      </c>
      <c r="C6777" s="2">
        <f>HYPERLINK("https://sao.dolgi.msk.ru/account/1404091249/", 1404091249)</f>
        <v>1404091249</v>
      </c>
      <c r="D6777">
        <v>-5924.36</v>
      </c>
    </row>
    <row r="6778" spans="1:4" x14ac:dyDescent="0.25">
      <c r="A6778" t="s">
        <v>677</v>
      </c>
      <c r="B6778" t="s">
        <v>163</v>
      </c>
      <c r="C6778" s="2">
        <f>HYPERLINK("https://sao.dolgi.msk.ru/account/1404090289/", 1404090289)</f>
        <v>1404090289</v>
      </c>
      <c r="D6778">
        <v>15770.9</v>
      </c>
    </row>
    <row r="6779" spans="1:4" hidden="1" x14ac:dyDescent="0.25">
      <c r="A6779" t="s">
        <v>677</v>
      </c>
      <c r="B6779" t="s">
        <v>164</v>
      </c>
      <c r="C6779" s="2">
        <f>HYPERLINK("https://sao.dolgi.msk.ru/account/1404087282/", 1404087282)</f>
        <v>1404087282</v>
      </c>
      <c r="D6779">
        <v>-6105.51</v>
      </c>
    </row>
    <row r="6780" spans="1:4" hidden="1" x14ac:dyDescent="0.25">
      <c r="A6780" t="s">
        <v>677</v>
      </c>
      <c r="B6780" t="s">
        <v>165</v>
      </c>
      <c r="C6780" s="2">
        <f>HYPERLINK("https://sao.dolgi.msk.ru/account/1404084903/", 1404084903)</f>
        <v>1404084903</v>
      </c>
      <c r="D6780">
        <v>-8159.94</v>
      </c>
    </row>
    <row r="6781" spans="1:4" hidden="1" x14ac:dyDescent="0.25">
      <c r="A6781" t="s">
        <v>677</v>
      </c>
      <c r="B6781" t="s">
        <v>166</v>
      </c>
      <c r="C6781" s="2">
        <f>HYPERLINK("https://sao.dolgi.msk.ru/account/1404084321/", 1404084321)</f>
        <v>1404084321</v>
      </c>
      <c r="D6781">
        <v>-3753.49</v>
      </c>
    </row>
    <row r="6782" spans="1:4" hidden="1" x14ac:dyDescent="0.25">
      <c r="A6782" t="s">
        <v>677</v>
      </c>
      <c r="B6782" t="s">
        <v>167</v>
      </c>
      <c r="C6782" s="2">
        <f>HYPERLINK("https://sao.dolgi.msk.ru/account/1404084612/", 1404084612)</f>
        <v>1404084612</v>
      </c>
      <c r="D6782">
        <v>-13589.12</v>
      </c>
    </row>
    <row r="6783" spans="1:4" hidden="1" x14ac:dyDescent="0.25">
      <c r="A6783" t="s">
        <v>677</v>
      </c>
      <c r="B6783" t="s">
        <v>168</v>
      </c>
      <c r="C6783" s="2">
        <f>HYPERLINK("https://sao.dolgi.msk.ru/account/1404084487/", 1404084487)</f>
        <v>1404084487</v>
      </c>
      <c r="D6783">
        <v>-5407.93</v>
      </c>
    </row>
    <row r="6784" spans="1:4" hidden="1" x14ac:dyDescent="0.25">
      <c r="A6784" t="s">
        <v>677</v>
      </c>
      <c r="B6784" t="s">
        <v>169</v>
      </c>
      <c r="C6784" s="2">
        <f>HYPERLINK("https://sao.dolgi.msk.ru/account/1404084436/", 1404084436)</f>
        <v>1404084436</v>
      </c>
      <c r="D6784">
        <v>-4143.9399999999996</v>
      </c>
    </row>
    <row r="6785" spans="1:4" hidden="1" x14ac:dyDescent="0.25">
      <c r="A6785" t="s">
        <v>677</v>
      </c>
      <c r="B6785" t="s">
        <v>170</v>
      </c>
      <c r="C6785" s="2">
        <f>HYPERLINK("https://sao.dolgi.msk.ru/account/1404084655/", 1404084655)</f>
        <v>1404084655</v>
      </c>
      <c r="D6785">
        <v>-5390.34</v>
      </c>
    </row>
    <row r="6786" spans="1:4" hidden="1" x14ac:dyDescent="0.25">
      <c r="A6786" t="s">
        <v>677</v>
      </c>
      <c r="B6786" t="s">
        <v>171</v>
      </c>
      <c r="C6786" s="2">
        <f>HYPERLINK("https://sao.dolgi.msk.ru/account/1404087258/", 1404087258)</f>
        <v>1404087258</v>
      </c>
      <c r="D6786">
        <v>0</v>
      </c>
    </row>
    <row r="6787" spans="1:4" hidden="1" x14ac:dyDescent="0.25">
      <c r="A6787" t="s">
        <v>677</v>
      </c>
      <c r="B6787" t="s">
        <v>172</v>
      </c>
      <c r="C6787" s="2">
        <f>HYPERLINK("https://sao.dolgi.msk.ru/account/1404088349/", 1404088349)</f>
        <v>1404088349</v>
      </c>
      <c r="D6787">
        <v>-27015.81</v>
      </c>
    </row>
    <row r="6788" spans="1:4" hidden="1" x14ac:dyDescent="0.25">
      <c r="A6788" t="s">
        <v>677</v>
      </c>
      <c r="B6788" t="s">
        <v>173</v>
      </c>
      <c r="C6788" s="2">
        <f>HYPERLINK("https://sao.dolgi.msk.ru/account/1404085244/", 1404085244)</f>
        <v>1404085244</v>
      </c>
      <c r="D6788">
        <v>-143.96</v>
      </c>
    </row>
    <row r="6789" spans="1:4" hidden="1" x14ac:dyDescent="0.25">
      <c r="A6789" t="s">
        <v>677</v>
      </c>
      <c r="B6789" t="s">
        <v>174</v>
      </c>
      <c r="C6789" s="2">
        <f>HYPERLINK("https://sao.dolgi.msk.ru/account/1404089122/", 1404089122)</f>
        <v>1404089122</v>
      </c>
      <c r="D6789">
        <v>-5471.04</v>
      </c>
    </row>
    <row r="6790" spans="1:4" hidden="1" x14ac:dyDescent="0.25">
      <c r="A6790" t="s">
        <v>677</v>
      </c>
      <c r="B6790" t="s">
        <v>175</v>
      </c>
      <c r="C6790" s="2">
        <f>HYPERLINK("https://sao.dolgi.msk.ru/account/1404086925/", 1404086925)</f>
        <v>1404086925</v>
      </c>
      <c r="D6790">
        <v>-6482.45</v>
      </c>
    </row>
    <row r="6791" spans="1:4" hidden="1" x14ac:dyDescent="0.25">
      <c r="A6791" t="s">
        <v>677</v>
      </c>
      <c r="B6791" t="s">
        <v>176</v>
      </c>
      <c r="C6791" s="2">
        <f>HYPERLINK("https://sao.dolgi.msk.ru/account/1404086802/", 1404086802)</f>
        <v>1404086802</v>
      </c>
      <c r="D6791">
        <v>-18097.39</v>
      </c>
    </row>
    <row r="6792" spans="1:4" hidden="1" x14ac:dyDescent="0.25">
      <c r="A6792" t="s">
        <v>677</v>
      </c>
      <c r="B6792" t="s">
        <v>177</v>
      </c>
      <c r="C6792" s="2">
        <f>HYPERLINK("https://sao.dolgi.msk.ru/account/1404087311/", 1404087311)</f>
        <v>1404087311</v>
      </c>
      <c r="D6792">
        <v>-5560.64</v>
      </c>
    </row>
    <row r="6793" spans="1:4" hidden="1" x14ac:dyDescent="0.25">
      <c r="A6793" t="s">
        <v>677</v>
      </c>
      <c r="B6793" t="s">
        <v>178</v>
      </c>
      <c r="C6793" s="2">
        <f>HYPERLINK("https://sao.dolgi.msk.ru/account/1404086159/", 1404086159)</f>
        <v>1404086159</v>
      </c>
      <c r="D6793">
        <v>-9813.35</v>
      </c>
    </row>
    <row r="6794" spans="1:4" hidden="1" x14ac:dyDescent="0.25">
      <c r="A6794" t="s">
        <v>677</v>
      </c>
      <c r="B6794" t="s">
        <v>179</v>
      </c>
      <c r="C6794" s="2">
        <f>HYPERLINK("https://sao.dolgi.msk.ru/account/1404087821/", 1404087821)</f>
        <v>1404087821</v>
      </c>
      <c r="D6794">
        <v>-6461.99</v>
      </c>
    </row>
    <row r="6795" spans="1:4" hidden="1" x14ac:dyDescent="0.25">
      <c r="A6795" t="s">
        <v>677</v>
      </c>
      <c r="B6795" t="s">
        <v>180</v>
      </c>
      <c r="C6795" s="2">
        <f>HYPERLINK("https://sao.dolgi.msk.ru/account/1404083791/", 1404083791)</f>
        <v>1404083791</v>
      </c>
      <c r="D6795">
        <v>-9221.58</v>
      </c>
    </row>
    <row r="6796" spans="1:4" x14ac:dyDescent="0.25">
      <c r="A6796" t="s">
        <v>677</v>
      </c>
      <c r="B6796" t="s">
        <v>181</v>
      </c>
      <c r="C6796" s="2">
        <f>HYPERLINK("https://sao.dolgi.msk.ru/account/1404090393/", 1404090393)</f>
        <v>1404090393</v>
      </c>
      <c r="D6796">
        <v>36.15</v>
      </c>
    </row>
    <row r="6797" spans="1:4" hidden="1" x14ac:dyDescent="0.25">
      <c r="A6797" t="s">
        <v>677</v>
      </c>
      <c r="B6797" t="s">
        <v>182</v>
      </c>
      <c r="C6797" s="2">
        <f>HYPERLINK("https://sao.dolgi.msk.ru/account/1404087055/", 1404087055)</f>
        <v>1404087055</v>
      </c>
      <c r="D6797">
        <v>-6055.76</v>
      </c>
    </row>
    <row r="6798" spans="1:4" x14ac:dyDescent="0.25">
      <c r="A6798" t="s">
        <v>677</v>
      </c>
      <c r="B6798" t="s">
        <v>183</v>
      </c>
      <c r="C6798" s="2">
        <f>HYPERLINK("https://sao.dolgi.msk.ru/account/1404089595/", 1404089595)</f>
        <v>1404089595</v>
      </c>
      <c r="D6798">
        <v>33895.42</v>
      </c>
    </row>
    <row r="6799" spans="1:4" hidden="1" x14ac:dyDescent="0.25">
      <c r="A6799" t="s">
        <v>677</v>
      </c>
      <c r="B6799" t="s">
        <v>184</v>
      </c>
      <c r="C6799" s="2">
        <f>HYPERLINK("https://sao.dolgi.msk.ru/account/1404090828/", 1404090828)</f>
        <v>1404090828</v>
      </c>
      <c r="D6799">
        <v>-3800.24</v>
      </c>
    </row>
    <row r="6800" spans="1:4" x14ac:dyDescent="0.25">
      <c r="A6800" t="s">
        <v>677</v>
      </c>
      <c r="B6800" t="s">
        <v>185</v>
      </c>
      <c r="C6800" s="2">
        <f>HYPERLINK("https://sao.dolgi.msk.ru/account/1404086263/", 1404086263)</f>
        <v>1404086263</v>
      </c>
      <c r="D6800">
        <v>12933.5</v>
      </c>
    </row>
    <row r="6801" spans="1:4" hidden="1" x14ac:dyDescent="0.25">
      <c r="A6801" t="s">
        <v>677</v>
      </c>
      <c r="B6801" t="s">
        <v>186</v>
      </c>
      <c r="C6801" s="2">
        <f>HYPERLINK("https://sao.dolgi.msk.ru/account/1404085957/", 1404085957)</f>
        <v>1404085957</v>
      </c>
      <c r="D6801">
        <v>0</v>
      </c>
    </row>
    <row r="6802" spans="1:4" hidden="1" x14ac:dyDescent="0.25">
      <c r="A6802" t="s">
        <v>677</v>
      </c>
      <c r="B6802" t="s">
        <v>187</v>
      </c>
      <c r="C6802" s="2">
        <f>HYPERLINK("https://sao.dolgi.msk.ru/account/1404084372/", 1404084372)</f>
        <v>1404084372</v>
      </c>
      <c r="D6802">
        <v>0</v>
      </c>
    </row>
    <row r="6803" spans="1:4" hidden="1" x14ac:dyDescent="0.25">
      <c r="A6803" t="s">
        <v>677</v>
      </c>
      <c r="B6803" t="s">
        <v>188</v>
      </c>
      <c r="C6803" s="2">
        <f>HYPERLINK("https://sao.dolgi.msk.ru/account/1404089149/", 1404089149)</f>
        <v>1404089149</v>
      </c>
      <c r="D6803">
        <v>-4975.1499999999996</v>
      </c>
    </row>
    <row r="6804" spans="1:4" hidden="1" x14ac:dyDescent="0.25">
      <c r="A6804" t="s">
        <v>677</v>
      </c>
      <c r="B6804" t="s">
        <v>189</v>
      </c>
      <c r="C6804" s="2">
        <f>HYPERLINK("https://sao.dolgi.msk.ru/account/1404083361/", 1404083361)</f>
        <v>1404083361</v>
      </c>
      <c r="D6804">
        <v>0</v>
      </c>
    </row>
    <row r="6805" spans="1:4" hidden="1" x14ac:dyDescent="0.25">
      <c r="A6805" t="s">
        <v>677</v>
      </c>
      <c r="B6805" t="s">
        <v>190</v>
      </c>
      <c r="C6805" s="2">
        <f>HYPERLINK("https://sao.dolgi.msk.ru/account/1404085009/", 1404085009)</f>
        <v>1404085009</v>
      </c>
      <c r="D6805">
        <v>-6963.68</v>
      </c>
    </row>
    <row r="6806" spans="1:4" hidden="1" x14ac:dyDescent="0.25">
      <c r="A6806" t="s">
        <v>677</v>
      </c>
      <c r="B6806" t="s">
        <v>191</v>
      </c>
      <c r="C6806" s="2">
        <f>HYPERLINK("https://sao.dolgi.msk.ru/account/1404083986/", 1404083986)</f>
        <v>1404083986</v>
      </c>
      <c r="D6806">
        <v>-4168.9399999999996</v>
      </c>
    </row>
    <row r="6807" spans="1:4" x14ac:dyDescent="0.25">
      <c r="A6807" t="s">
        <v>677</v>
      </c>
      <c r="B6807" t="s">
        <v>192</v>
      </c>
      <c r="C6807" s="2">
        <f>HYPERLINK("https://sao.dolgi.msk.ru/account/1404100117/", 1404100117)</f>
        <v>1404100117</v>
      </c>
      <c r="D6807">
        <v>207162.25</v>
      </c>
    </row>
    <row r="6808" spans="1:4" hidden="1" x14ac:dyDescent="0.25">
      <c r="A6808" t="s">
        <v>677</v>
      </c>
      <c r="B6808" t="s">
        <v>193</v>
      </c>
      <c r="C6808" s="2">
        <f>HYPERLINK("https://sao.dolgi.msk.ru/account/1404085068/", 1404085068)</f>
        <v>1404085068</v>
      </c>
      <c r="D6808">
        <v>-4808.3900000000003</v>
      </c>
    </row>
    <row r="6809" spans="1:4" hidden="1" x14ac:dyDescent="0.25">
      <c r="A6809" t="s">
        <v>677</v>
      </c>
      <c r="B6809" t="s">
        <v>194</v>
      </c>
      <c r="C6809" s="2">
        <f>HYPERLINK("https://sao.dolgi.msk.ru/account/1404084161/", 1404084161)</f>
        <v>1404084161</v>
      </c>
      <c r="D6809">
        <v>-4770.49</v>
      </c>
    </row>
    <row r="6810" spans="1:4" hidden="1" x14ac:dyDescent="0.25">
      <c r="A6810" t="s">
        <v>677</v>
      </c>
      <c r="B6810" t="s">
        <v>195</v>
      </c>
      <c r="C6810" s="2">
        <f>HYPERLINK("https://sao.dolgi.msk.ru/account/1404088146/", 1404088146)</f>
        <v>1404088146</v>
      </c>
      <c r="D6810">
        <v>-6521.99</v>
      </c>
    </row>
    <row r="6811" spans="1:4" hidden="1" x14ac:dyDescent="0.25">
      <c r="A6811" t="s">
        <v>677</v>
      </c>
      <c r="B6811" t="s">
        <v>196</v>
      </c>
      <c r="C6811" s="2">
        <f>HYPERLINK("https://sao.dolgi.msk.ru/account/1404090588/", 1404090588)</f>
        <v>1404090588</v>
      </c>
      <c r="D6811">
        <v>-5396.34</v>
      </c>
    </row>
    <row r="6812" spans="1:4" hidden="1" x14ac:dyDescent="0.25">
      <c r="A6812" t="s">
        <v>677</v>
      </c>
      <c r="B6812" t="s">
        <v>197</v>
      </c>
      <c r="C6812" s="2">
        <f>HYPERLINK("https://sao.dolgi.msk.ru/account/1404082983/", 1404082983)</f>
        <v>1404082983</v>
      </c>
      <c r="D6812">
        <v>-4170.37</v>
      </c>
    </row>
    <row r="6813" spans="1:4" hidden="1" x14ac:dyDescent="0.25">
      <c r="A6813" t="s">
        <v>677</v>
      </c>
      <c r="B6813" t="s">
        <v>198</v>
      </c>
      <c r="C6813" s="2">
        <f>HYPERLINK("https://sao.dolgi.msk.ru/account/1404090553/", 1404090553)</f>
        <v>1404090553</v>
      </c>
      <c r="D6813">
        <v>-6072.19</v>
      </c>
    </row>
    <row r="6814" spans="1:4" x14ac:dyDescent="0.25">
      <c r="A6814" t="s">
        <v>677</v>
      </c>
      <c r="B6814" t="s">
        <v>199</v>
      </c>
      <c r="C6814" s="2">
        <f>HYPERLINK("https://sao.dolgi.msk.ru/account/1404086597/", 1404086597)</f>
        <v>1404086597</v>
      </c>
      <c r="D6814">
        <v>153570.41</v>
      </c>
    </row>
    <row r="6815" spans="1:4" hidden="1" x14ac:dyDescent="0.25">
      <c r="A6815" t="s">
        <v>677</v>
      </c>
      <c r="B6815" t="s">
        <v>200</v>
      </c>
      <c r="C6815" s="2">
        <f>HYPERLINK("https://sao.dolgi.msk.ru/account/1404085981/", 1404085981)</f>
        <v>1404085981</v>
      </c>
      <c r="D6815">
        <v>-6111.52</v>
      </c>
    </row>
    <row r="6816" spans="1:4" hidden="1" x14ac:dyDescent="0.25">
      <c r="A6816" t="s">
        <v>677</v>
      </c>
      <c r="B6816" t="s">
        <v>201</v>
      </c>
      <c r="C6816" s="2">
        <f>HYPERLINK("https://sao.dolgi.msk.ru/account/1404153921/", 1404153921)</f>
        <v>1404153921</v>
      </c>
      <c r="D6816">
        <v>-6667.96</v>
      </c>
    </row>
    <row r="6817" spans="1:4" hidden="1" x14ac:dyDescent="0.25">
      <c r="A6817" t="s">
        <v>677</v>
      </c>
      <c r="B6817" t="s">
        <v>202</v>
      </c>
      <c r="C6817" s="2">
        <f>HYPERLINK("https://sao.dolgi.msk.ru/account/1404089317/", 1404089317)</f>
        <v>1404089317</v>
      </c>
      <c r="D6817">
        <v>-5510.02</v>
      </c>
    </row>
    <row r="6818" spans="1:4" x14ac:dyDescent="0.25">
      <c r="A6818" t="s">
        <v>677</v>
      </c>
      <c r="B6818" t="s">
        <v>203</v>
      </c>
      <c r="C6818" s="2">
        <f>HYPERLINK("https://sao.dolgi.msk.ru/account/1404090481/", 1404090481)</f>
        <v>1404090481</v>
      </c>
      <c r="D6818">
        <v>93457.83</v>
      </c>
    </row>
    <row r="6819" spans="1:4" x14ac:dyDescent="0.25">
      <c r="A6819" t="s">
        <v>677</v>
      </c>
      <c r="B6819" t="s">
        <v>204</v>
      </c>
      <c r="C6819" s="2">
        <f>HYPERLINK("https://sao.dolgi.msk.ru/account/1404088445/", 1404088445)</f>
        <v>1404088445</v>
      </c>
      <c r="D6819">
        <v>363049.82</v>
      </c>
    </row>
    <row r="6820" spans="1:4" x14ac:dyDescent="0.25">
      <c r="A6820" t="s">
        <v>677</v>
      </c>
      <c r="B6820" t="s">
        <v>205</v>
      </c>
      <c r="C6820" s="2">
        <f>HYPERLINK("https://sao.dolgi.msk.ru/account/1404083206/", 1404083206)</f>
        <v>1404083206</v>
      </c>
      <c r="D6820">
        <v>5364.4</v>
      </c>
    </row>
    <row r="6821" spans="1:4" hidden="1" x14ac:dyDescent="0.25">
      <c r="A6821" t="s">
        <v>677</v>
      </c>
      <c r="B6821" t="s">
        <v>206</v>
      </c>
      <c r="C6821" s="2">
        <f>HYPERLINK("https://sao.dolgi.msk.ru/account/1404090502/", 1404090502)</f>
        <v>1404090502</v>
      </c>
      <c r="D6821">
        <v>-6570.7</v>
      </c>
    </row>
    <row r="6822" spans="1:4" hidden="1" x14ac:dyDescent="0.25">
      <c r="A6822" t="s">
        <v>677</v>
      </c>
      <c r="B6822" t="s">
        <v>207</v>
      </c>
      <c r="C6822" s="2">
        <f>HYPERLINK("https://sao.dolgi.msk.ru/account/1404085359/", 1404085359)</f>
        <v>1404085359</v>
      </c>
      <c r="D6822">
        <v>-6080.98</v>
      </c>
    </row>
    <row r="6823" spans="1:4" hidden="1" x14ac:dyDescent="0.25">
      <c r="A6823" t="s">
        <v>677</v>
      </c>
      <c r="B6823" t="s">
        <v>208</v>
      </c>
      <c r="C6823" s="2">
        <f>HYPERLINK("https://sao.dolgi.msk.ru/account/1404082756/", 1404082756)</f>
        <v>1404082756</v>
      </c>
      <c r="D6823">
        <v>-4046.89</v>
      </c>
    </row>
    <row r="6824" spans="1:4" x14ac:dyDescent="0.25">
      <c r="A6824" t="s">
        <v>677</v>
      </c>
      <c r="B6824" t="s">
        <v>209</v>
      </c>
      <c r="C6824" s="2">
        <f>HYPERLINK("https://sao.dolgi.msk.ru/account/1404089755/", 1404089755)</f>
        <v>1404089755</v>
      </c>
      <c r="D6824">
        <v>2996.15</v>
      </c>
    </row>
    <row r="6825" spans="1:4" hidden="1" x14ac:dyDescent="0.25">
      <c r="A6825" t="s">
        <v>677</v>
      </c>
      <c r="B6825" t="s">
        <v>210</v>
      </c>
      <c r="C6825" s="2">
        <f>HYPERLINK("https://sao.dolgi.msk.ru/account/1404082676/", 1404082676)</f>
        <v>1404082676</v>
      </c>
      <c r="D6825">
        <v>-7997.6</v>
      </c>
    </row>
    <row r="6826" spans="1:4" x14ac:dyDescent="0.25">
      <c r="A6826" t="s">
        <v>677</v>
      </c>
      <c r="B6826" t="s">
        <v>211</v>
      </c>
      <c r="C6826" s="2">
        <f>HYPERLINK("https://sao.dolgi.msk.ru/account/1404086757/", 1404086757)</f>
        <v>1404086757</v>
      </c>
      <c r="D6826">
        <v>7346.99</v>
      </c>
    </row>
    <row r="6827" spans="1:4" x14ac:dyDescent="0.25">
      <c r="A6827" t="s">
        <v>677</v>
      </c>
      <c r="B6827" t="s">
        <v>212</v>
      </c>
      <c r="C6827" s="2">
        <f>HYPERLINK("https://sao.dolgi.msk.ru/account/1404083783/", 1404083783)</f>
        <v>1404083783</v>
      </c>
      <c r="D6827">
        <v>30427.94</v>
      </c>
    </row>
    <row r="6828" spans="1:4" hidden="1" x14ac:dyDescent="0.25">
      <c r="A6828" t="s">
        <v>677</v>
      </c>
      <c r="B6828" t="s">
        <v>213</v>
      </c>
      <c r="C6828" s="2">
        <f>HYPERLINK("https://sao.dolgi.msk.ru/account/1404083222/", 1404083222)</f>
        <v>1404083222</v>
      </c>
      <c r="D6828">
        <v>0</v>
      </c>
    </row>
    <row r="6829" spans="1:4" hidden="1" x14ac:dyDescent="0.25">
      <c r="A6829" t="s">
        <v>677</v>
      </c>
      <c r="B6829" t="s">
        <v>214</v>
      </c>
      <c r="C6829" s="2">
        <f>HYPERLINK("https://sao.dolgi.msk.ru/account/1404086714/", 1404086714)</f>
        <v>1404086714</v>
      </c>
      <c r="D6829">
        <v>0</v>
      </c>
    </row>
    <row r="6830" spans="1:4" hidden="1" x14ac:dyDescent="0.25">
      <c r="A6830" t="s">
        <v>677</v>
      </c>
      <c r="B6830" t="s">
        <v>215</v>
      </c>
      <c r="C6830" s="2">
        <f>HYPERLINK("https://sao.dolgi.msk.ru/account/1404087987/", 1404087987)</f>
        <v>1404087987</v>
      </c>
      <c r="D6830">
        <v>-7120.35</v>
      </c>
    </row>
    <row r="6831" spans="1:4" hidden="1" x14ac:dyDescent="0.25">
      <c r="A6831" t="s">
        <v>677</v>
      </c>
      <c r="B6831" t="s">
        <v>216</v>
      </c>
      <c r="C6831" s="2">
        <f>HYPERLINK("https://sao.dolgi.msk.ru/account/1404083564/", 1404083564)</f>
        <v>1404083564</v>
      </c>
      <c r="D6831">
        <v>-289.33999999999997</v>
      </c>
    </row>
    <row r="6832" spans="1:4" x14ac:dyDescent="0.25">
      <c r="A6832" t="s">
        <v>677</v>
      </c>
      <c r="B6832" t="s">
        <v>217</v>
      </c>
      <c r="C6832" s="2">
        <f>HYPERLINK("https://sao.dolgi.msk.ru/account/1404089253/", 1404089253)</f>
        <v>1404089253</v>
      </c>
      <c r="D6832">
        <v>131642.73000000001</v>
      </c>
    </row>
    <row r="6833" spans="1:4" hidden="1" x14ac:dyDescent="0.25">
      <c r="A6833" t="s">
        <v>677</v>
      </c>
      <c r="B6833" t="s">
        <v>218</v>
      </c>
      <c r="C6833" s="2">
        <f>HYPERLINK("https://sao.dolgi.msk.ru/account/1404082537/", 1404082537)</f>
        <v>1404082537</v>
      </c>
      <c r="D6833">
        <v>-6181.06</v>
      </c>
    </row>
    <row r="6834" spans="1:4" hidden="1" x14ac:dyDescent="0.25">
      <c r="A6834" t="s">
        <v>677</v>
      </c>
      <c r="B6834" t="s">
        <v>219</v>
      </c>
      <c r="C6834" s="2">
        <f>HYPERLINK("https://sao.dolgi.msk.ru/account/1404085033/", 1404085033)</f>
        <v>1404085033</v>
      </c>
      <c r="D6834">
        <v>-7440.74</v>
      </c>
    </row>
    <row r="6835" spans="1:4" hidden="1" x14ac:dyDescent="0.25">
      <c r="A6835" t="s">
        <v>677</v>
      </c>
      <c r="B6835" t="s">
        <v>220</v>
      </c>
      <c r="C6835" s="2">
        <f>HYPERLINK("https://sao.dolgi.msk.ru/account/1404085295/", 1404085295)</f>
        <v>1404085295</v>
      </c>
      <c r="D6835">
        <v>-5111.09</v>
      </c>
    </row>
    <row r="6836" spans="1:4" hidden="1" x14ac:dyDescent="0.25">
      <c r="A6836" t="s">
        <v>677</v>
      </c>
      <c r="B6836" t="s">
        <v>221</v>
      </c>
      <c r="C6836" s="2">
        <f>HYPERLINK("https://sao.dolgi.msk.ru/account/1404083011/", 1404083011)</f>
        <v>1404083011</v>
      </c>
      <c r="D6836">
        <v>-5936.91</v>
      </c>
    </row>
    <row r="6837" spans="1:4" hidden="1" x14ac:dyDescent="0.25">
      <c r="A6837" t="s">
        <v>677</v>
      </c>
      <c r="B6837" t="s">
        <v>222</v>
      </c>
      <c r="C6837" s="2">
        <f>HYPERLINK("https://sao.dolgi.msk.ru/account/1404089982/", 1404089982)</f>
        <v>1404089982</v>
      </c>
      <c r="D6837">
        <v>-8230.15</v>
      </c>
    </row>
    <row r="6838" spans="1:4" x14ac:dyDescent="0.25">
      <c r="A6838" t="s">
        <v>677</v>
      </c>
      <c r="B6838" t="s">
        <v>223</v>
      </c>
      <c r="C6838" s="2">
        <f>HYPERLINK("https://sao.dolgi.msk.ru/account/1404086722/", 1404086722)</f>
        <v>1404086722</v>
      </c>
      <c r="D6838">
        <v>5666.05</v>
      </c>
    </row>
    <row r="6839" spans="1:4" hidden="1" x14ac:dyDescent="0.25">
      <c r="A6839" t="s">
        <v>677</v>
      </c>
      <c r="B6839" t="s">
        <v>224</v>
      </c>
      <c r="C6839" s="2">
        <f>HYPERLINK("https://sao.dolgi.msk.ru/account/1404083652/", 1404083652)</f>
        <v>1404083652</v>
      </c>
      <c r="D6839">
        <v>-6142.78</v>
      </c>
    </row>
    <row r="6840" spans="1:4" hidden="1" x14ac:dyDescent="0.25">
      <c r="A6840" t="s">
        <v>677</v>
      </c>
      <c r="B6840" t="s">
        <v>225</v>
      </c>
      <c r="C6840" s="2">
        <f>HYPERLINK("https://sao.dolgi.msk.ru/account/1404088736/", 1404088736)</f>
        <v>1404088736</v>
      </c>
      <c r="D6840">
        <v>-6149</v>
      </c>
    </row>
    <row r="6841" spans="1:4" hidden="1" x14ac:dyDescent="0.25">
      <c r="A6841" t="s">
        <v>677</v>
      </c>
      <c r="B6841" t="s">
        <v>226</v>
      </c>
      <c r="C6841" s="2">
        <f>HYPERLINK("https://sao.dolgi.msk.ru/account/1404086909/", 1404086909)</f>
        <v>1404086909</v>
      </c>
      <c r="D6841">
        <v>-1258</v>
      </c>
    </row>
    <row r="6842" spans="1:4" hidden="1" x14ac:dyDescent="0.25">
      <c r="A6842" t="s">
        <v>677</v>
      </c>
      <c r="B6842" t="s">
        <v>227</v>
      </c>
      <c r="C6842" s="2">
        <f>HYPERLINK("https://sao.dolgi.msk.ru/account/1404082473/", 1404082473)</f>
        <v>1404082473</v>
      </c>
      <c r="D6842">
        <v>-8598.24</v>
      </c>
    </row>
    <row r="6843" spans="1:4" hidden="1" x14ac:dyDescent="0.25">
      <c r="A6843" t="s">
        <v>677</v>
      </c>
      <c r="B6843" t="s">
        <v>228</v>
      </c>
      <c r="C6843" s="2">
        <f>HYPERLINK("https://sao.dolgi.msk.ru/account/1404083759/", 1404083759)</f>
        <v>1404083759</v>
      </c>
      <c r="D6843">
        <v>-1052.8800000000001</v>
      </c>
    </row>
    <row r="6844" spans="1:4" hidden="1" x14ac:dyDescent="0.25">
      <c r="A6844" t="s">
        <v>677</v>
      </c>
      <c r="B6844" t="s">
        <v>229</v>
      </c>
      <c r="C6844" s="2">
        <f>HYPERLINK("https://sao.dolgi.msk.ru/account/1404139951/", 1404139951)</f>
        <v>1404139951</v>
      </c>
      <c r="D6844">
        <v>0</v>
      </c>
    </row>
    <row r="6845" spans="1:4" x14ac:dyDescent="0.25">
      <c r="A6845" t="s">
        <v>677</v>
      </c>
      <c r="B6845" t="s">
        <v>230</v>
      </c>
      <c r="C6845" s="2">
        <f>HYPERLINK("https://sao.dolgi.msk.ru/account/1404100168/", 1404100168)</f>
        <v>1404100168</v>
      </c>
      <c r="D6845">
        <v>51233.14</v>
      </c>
    </row>
    <row r="6846" spans="1:4" hidden="1" x14ac:dyDescent="0.25">
      <c r="A6846" t="s">
        <v>677</v>
      </c>
      <c r="B6846" t="s">
        <v>231</v>
      </c>
      <c r="C6846" s="2">
        <f>HYPERLINK("https://sao.dolgi.msk.ru/account/1404100184/", 1404100184)</f>
        <v>1404100184</v>
      </c>
      <c r="D6846">
        <v>0</v>
      </c>
    </row>
    <row r="6847" spans="1:4" hidden="1" x14ac:dyDescent="0.25">
      <c r="A6847" t="s">
        <v>677</v>
      </c>
      <c r="B6847" t="s">
        <v>231</v>
      </c>
      <c r="C6847" s="2">
        <f>HYPERLINK("https://sao.dolgi.msk.ru/account/1404139847/", 1404139847)</f>
        <v>1404139847</v>
      </c>
      <c r="D6847">
        <v>0</v>
      </c>
    </row>
    <row r="6848" spans="1:4" x14ac:dyDescent="0.25">
      <c r="A6848" t="s">
        <v>677</v>
      </c>
      <c r="B6848" t="s">
        <v>232</v>
      </c>
      <c r="C6848" s="2">
        <f>HYPERLINK("https://sao.dolgi.msk.ru/account/1404100192/", 1404100192)</f>
        <v>1404100192</v>
      </c>
      <c r="D6848">
        <v>45527.89</v>
      </c>
    </row>
    <row r="6849" spans="1:4" hidden="1" x14ac:dyDescent="0.25">
      <c r="A6849" t="s">
        <v>677</v>
      </c>
      <c r="B6849" t="s">
        <v>233</v>
      </c>
      <c r="C6849" s="2">
        <f>HYPERLINK("https://sao.dolgi.msk.ru/account/1404095151/", 1404095151)</f>
        <v>1404095151</v>
      </c>
      <c r="D6849">
        <v>-6197.44</v>
      </c>
    </row>
    <row r="6850" spans="1:4" x14ac:dyDescent="0.25">
      <c r="A6850" t="s">
        <v>677</v>
      </c>
      <c r="B6850" t="s">
        <v>234</v>
      </c>
      <c r="C6850" s="2">
        <f>HYPERLINK("https://sao.dolgi.msk.ru/account/1404100213/", 1404100213)</f>
        <v>1404100213</v>
      </c>
      <c r="D6850">
        <v>49626.46</v>
      </c>
    </row>
    <row r="6851" spans="1:4" hidden="1" x14ac:dyDescent="0.25">
      <c r="A6851" t="s">
        <v>677</v>
      </c>
      <c r="B6851" t="s">
        <v>235</v>
      </c>
      <c r="C6851" s="2">
        <f>HYPERLINK("https://sao.dolgi.msk.ru/account/1404100248/", 1404100248)</f>
        <v>1404100248</v>
      </c>
      <c r="D6851">
        <v>0</v>
      </c>
    </row>
    <row r="6852" spans="1:4" hidden="1" x14ac:dyDescent="0.25">
      <c r="A6852" t="s">
        <v>677</v>
      </c>
      <c r="B6852" t="s">
        <v>235</v>
      </c>
      <c r="C6852" s="2">
        <f>HYPERLINK("https://sao.dolgi.msk.ru/account/1404139724/", 1404139724)</f>
        <v>1404139724</v>
      </c>
      <c r="D6852">
        <v>-2459.88</v>
      </c>
    </row>
    <row r="6853" spans="1:4" hidden="1" x14ac:dyDescent="0.25">
      <c r="A6853" t="s">
        <v>677</v>
      </c>
      <c r="B6853" t="s">
        <v>235</v>
      </c>
      <c r="C6853" s="2">
        <f>HYPERLINK("https://sao.dolgi.msk.ru/account/1404153956/", 1404153956)</f>
        <v>1404153956</v>
      </c>
      <c r="D6853">
        <v>-5321.18</v>
      </c>
    </row>
    <row r="6854" spans="1:4" hidden="1" x14ac:dyDescent="0.25">
      <c r="A6854" t="s">
        <v>677</v>
      </c>
      <c r="B6854" t="s">
        <v>239</v>
      </c>
      <c r="C6854" s="2">
        <f>HYPERLINK("https://sao.dolgi.msk.ru/account/1404084313/", 1404084313)</f>
        <v>1404084313</v>
      </c>
      <c r="D6854">
        <v>-4514.7700000000004</v>
      </c>
    </row>
    <row r="6855" spans="1:4" hidden="1" x14ac:dyDescent="0.25">
      <c r="A6855" t="s">
        <v>677</v>
      </c>
      <c r="B6855" t="s">
        <v>240</v>
      </c>
      <c r="C6855" s="2">
        <f>HYPERLINK("https://sao.dolgi.msk.ru/account/1404086888/", 1404086888)</f>
        <v>1404086888</v>
      </c>
      <c r="D6855">
        <v>-6833.27</v>
      </c>
    </row>
    <row r="6856" spans="1:4" hidden="1" x14ac:dyDescent="0.25">
      <c r="A6856" t="s">
        <v>677</v>
      </c>
      <c r="B6856" t="s">
        <v>241</v>
      </c>
      <c r="C6856" s="2">
        <f>HYPERLINK("https://sao.dolgi.msk.ru/account/1404082705/", 1404082705)</f>
        <v>1404082705</v>
      </c>
      <c r="D6856">
        <v>-3332.88</v>
      </c>
    </row>
    <row r="6857" spans="1:4" hidden="1" x14ac:dyDescent="0.25">
      <c r="A6857" t="s">
        <v>677</v>
      </c>
      <c r="B6857" t="s">
        <v>242</v>
      </c>
      <c r="C6857" s="2">
        <f>HYPERLINK("https://sao.dolgi.msk.ru/account/1404087899/", 1404087899)</f>
        <v>1404087899</v>
      </c>
      <c r="D6857">
        <v>-823.89</v>
      </c>
    </row>
    <row r="6858" spans="1:4" hidden="1" x14ac:dyDescent="0.25">
      <c r="A6858" t="s">
        <v>677</v>
      </c>
      <c r="B6858" t="s">
        <v>243</v>
      </c>
      <c r="C6858" s="2">
        <f>HYPERLINK("https://sao.dolgi.msk.ru/account/1404089966/", 1404089966)</f>
        <v>1404089966</v>
      </c>
      <c r="D6858">
        <v>-5360.07</v>
      </c>
    </row>
    <row r="6859" spans="1:4" x14ac:dyDescent="0.25">
      <c r="A6859" t="s">
        <v>677</v>
      </c>
      <c r="B6859" t="s">
        <v>244</v>
      </c>
      <c r="C6859" s="2">
        <f>HYPERLINK("https://sao.dolgi.msk.ru/account/1404100264/", 1404100264)</f>
        <v>1404100264</v>
      </c>
      <c r="D6859">
        <v>48050.98</v>
      </c>
    </row>
    <row r="6860" spans="1:4" hidden="1" x14ac:dyDescent="0.25">
      <c r="A6860" t="s">
        <v>677</v>
      </c>
      <c r="B6860" t="s">
        <v>245</v>
      </c>
      <c r="C6860" s="2">
        <f>HYPERLINK("https://sao.dolgi.msk.ru/account/1404100299/", 1404100299)</f>
        <v>1404100299</v>
      </c>
      <c r="D6860">
        <v>-5825.83</v>
      </c>
    </row>
    <row r="6861" spans="1:4" hidden="1" x14ac:dyDescent="0.25">
      <c r="A6861" t="s">
        <v>677</v>
      </c>
      <c r="B6861" t="s">
        <v>246</v>
      </c>
      <c r="C6861" s="2">
        <f>HYPERLINK("https://sao.dolgi.msk.ru/account/1404089915/", 1404089915)</f>
        <v>1404089915</v>
      </c>
      <c r="D6861">
        <v>0</v>
      </c>
    </row>
    <row r="6862" spans="1:4" hidden="1" x14ac:dyDescent="0.25">
      <c r="A6862" t="s">
        <v>677</v>
      </c>
      <c r="B6862" t="s">
        <v>247</v>
      </c>
      <c r="C6862" s="2">
        <f>HYPERLINK("https://sao.dolgi.msk.ru/account/1404088568/", 1404088568)</f>
        <v>1404088568</v>
      </c>
      <c r="D6862">
        <v>-6731.94</v>
      </c>
    </row>
    <row r="6863" spans="1:4" hidden="1" x14ac:dyDescent="0.25">
      <c r="A6863" t="s">
        <v>677</v>
      </c>
      <c r="B6863" t="s">
        <v>248</v>
      </c>
      <c r="C6863" s="2">
        <f>HYPERLINK("https://sao.dolgi.msk.ru/account/1404084209/", 1404084209)</f>
        <v>1404084209</v>
      </c>
      <c r="D6863">
        <v>-4781.91</v>
      </c>
    </row>
    <row r="6864" spans="1:4" hidden="1" x14ac:dyDescent="0.25">
      <c r="A6864" t="s">
        <v>677</v>
      </c>
      <c r="B6864" t="s">
        <v>249</v>
      </c>
      <c r="C6864" s="2">
        <f>HYPERLINK("https://sao.dolgi.msk.ru/account/1404083441/", 1404083441)</f>
        <v>1404083441</v>
      </c>
      <c r="D6864">
        <v>-4056.61</v>
      </c>
    </row>
    <row r="6865" spans="1:4" hidden="1" x14ac:dyDescent="0.25">
      <c r="A6865" t="s">
        <v>677</v>
      </c>
      <c r="B6865" t="s">
        <v>250</v>
      </c>
      <c r="C6865" s="2">
        <f>HYPERLINK("https://sao.dolgi.msk.ru/account/1404088066/", 1404088066)</f>
        <v>1404088066</v>
      </c>
      <c r="D6865">
        <v>-4926.7299999999996</v>
      </c>
    </row>
    <row r="6866" spans="1:4" hidden="1" x14ac:dyDescent="0.25">
      <c r="A6866" t="s">
        <v>677</v>
      </c>
      <c r="B6866" t="s">
        <v>251</v>
      </c>
      <c r="C6866" s="2">
        <f>HYPERLINK("https://sao.dolgi.msk.ru/account/1404083484/", 1404083484)</f>
        <v>1404083484</v>
      </c>
      <c r="D6866">
        <v>-7857.47</v>
      </c>
    </row>
    <row r="6867" spans="1:4" x14ac:dyDescent="0.25">
      <c r="A6867" t="s">
        <v>677</v>
      </c>
      <c r="B6867" t="s">
        <v>252</v>
      </c>
      <c r="C6867" s="2">
        <f>HYPERLINK("https://sao.dolgi.msk.ru/account/1404089202/", 1404089202)</f>
        <v>1404089202</v>
      </c>
      <c r="D6867">
        <v>13150.42</v>
      </c>
    </row>
    <row r="6868" spans="1:4" hidden="1" x14ac:dyDescent="0.25">
      <c r="A6868" t="s">
        <v>677</v>
      </c>
      <c r="B6868" t="s">
        <v>253</v>
      </c>
      <c r="C6868" s="2">
        <f>HYPERLINK("https://sao.dolgi.msk.ru/account/1404084225/", 1404084225)</f>
        <v>1404084225</v>
      </c>
      <c r="D6868">
        <v>-5147.63</v>
      </c>
    </row>
    <row r="6869" spans="1:4" hidden="1" x14ac:dyDescent="0.25">
      <c r="A6869" t="s">
        <v>677</v>
      </c>
      <c r="B6869" t="s">
        <v>254</v>
      </c>
      <c r="C6869" s="2">
        <f>HYPERLINK("https://sao.dolgi.msk.ru/account/1404087047/", 1404087047)</f>
        <v>1404087047</v>
      </c>
      <c r="D6869">
        <v>-5463.73</v>
      </c>
    </row>
    <row r="6870" spans="1:4" hidden="1" x14ac:dyDescent="0.25">
      <c r="A6870" t="s">
        <v>677</v>
      </c>
      <c r="B6870" t="s">
        <v>255</v>
      </c>
      <c r="C6870" s="2">
        <f>HYPERLINK("https://sao.dolgi.msk.ru/account/1404087776/", 1404087776)</f>
        <v>1404087776</v>
      </c>
      <c r="D6870">
        <v>-6345.96</v>
      </c>
    </row>
    <row r="6871" spans="1:4" hidden="1" x14ac:dyDescent="0.25">
      <c r="A6871" t="s">
        <v>677</v>
      </c>
      <c r="B6871" t="s">
        <v>256</v>
      </c>
      <c r="C6871" s="2">
        <f>HYPERLINK("https://sao.dolgi.msk.ru/account/1404083046/", 1404083046)</f>
        <v>1404083046</v>
      </c>
      <c r="D6871">
        <v>-4321.3100000000004</v>
      </c>
    </row>
    <row r="6872" spans="1:4" hidden="1" x14ac:dyDescent="0.25">
      <c r="A6872" t="s">
        <v>677</v>
      </c>
      <c r="B6872" t="s">
        <v>257</v>
      </c>
      <c r="C6872" s="2">
        <f>HYPERLINK("https://sao.dolgi.msk.ru/account/1404083281/", 1404083281)</f>
        <v>1404083281</v>
      </c>
      <c r="D6872">
        <v>-3447.73</v>
      </c>
    </row>
    <row r="6873" spans="1:4" hidden="1" x14ac:dyDescent="0.25">
      <c r="A6873" t="s">
        <v>677</v>
      </c>
      <c r="B6873" t="s">
        <v>258</v>
      </c>
      <c r="C6873" s="2">
        <f>HYPERLINK("https://sao.dolgi.msk.ru/account/1404084428/", 1404084428)</f>
        <v>1404084428</v>
      </c>
      <c r="D6873">
        <v>0</v>
      </c>
    </row>
    <row r="6874" spans="1:4" hidden="1" x14ac:dyDescent="0.25">
      <c r="A6874" t="s">
        <v>677</v>
      </c>
      <c r="B6874" t="s">
        <v>259</v>
      </c>
      <c r="C6874" s="2">
        <f>HYPERLINK("https://sao.dolgi.msk.ru/account/1404086837/", 1404086837)</f>
        <v>1404086837</v>
      </c>
      <c r="D6874">
        <v>0</v>
      </c>
    </row>
    <row r="6875" spans="1:4" hidden="1" x14ac:dyDescent="0.25">
      <c r="A6875" t="s">
        <v>677</v>
      </c>
      <c r="B6875" t="s">
        <v>260</v>
      </c>
      <c r="C6875" s="2">
        <f>HYPERLINK("https://sao.dolgi.msk.ru/account/1404090369/", 1404090369)</f>
        <v>1404090369</v>
      </c>
      <c r="D6875">
        <v>-1560.8</v>
      </c>
    </row>
    <row r="6876" spans="1:4" hidden="1" x14ac:dyDescent="0.25">
      <c r="A6876" t="s">
        <v>677</v>
      </c>
      <c r="B6876" t="s">
        <v>261</v>
      </c>
      <c r="C6876" s="2">
        <f>HYPERLINK("https://sao.dolgi.msk.ru/account/1404082721/", 1404082721)</f>
        <v>1404082721</v>
      </c>
      <c r="D6876">
        <v>-4432.12</v>
      </c>
    </row>
    <row r="6877" spans="1:4" hidden="1" x14ac:dyDescent="0.25">
      <c r="A6877" t="s">
        <v>677</v>
      </c>
      <c r="B6877" t="s">
        <v>262</v>
      </c>
      <c r="C6877" s="2">
        <f>HYPERLINK("https://sao.dolgi.msk.ru/account/1404089886/", 1404089886)</f>
        <v>1404089886</v>
      </c>
      <c r="D6877">
        <v>0</v>
      </c>
    </row>
    <row r="6878" spans="1:4" hidden="1" x14ac:dyDescent="0.25">
      <c r="A6878" t="s">
        <v>677</v>
      </c>
      <c r="B6878" t="s">
        <v>263</v>
      </c>
      <c r="C6878" s="2">
        <f>HYPERLINK("https://sao.dolgi.msk.ru/account/1404084823/", 1404084823)</f>
        <v>1404084823</v>
      </c>
      <c r="D6878">
        <v>-4423.8500000000004</v>
      </c>
    </row>
    <row r="6879" spans="1:4" hidden="1" x14ac:dyDescent="0.25">
      <c r="A6879" t="s">
        <v>677</v>
      </c>
      <c r="B6879" t="s">
        <v>264</v>
      </c>
      <c r="C6879" s="2">
        <f>HYPERLINK("https://sao.dolgi.msk.ru/account/1404082801/", 1404082801)</f>
        <v>1404082801</v>
      </c>
      <c r="D6879">
        <v>-3602.1</v>
      </c>
    </row>
    <row r="6880" spans="1:4" x14ac:dyDescent="0.25">
      <c r="A6880" t="s">
        <v>677</v>
      </c>
      <c r="B6880" t="s">
        <v>265</v>
      </c>
      <c r="C6880" s="2">
        <f>HYPERLINK("https://sao.dolgi.msk.ru/account/1404083265/", 1404083265)</f>
        <v>1404083265</v>
      </c>
      <c r="D6880">
        <v>4321.8599999999997</v>
      </c>
    </row>
    <row r="6881" spans="1:4" hidden="1" x14ac:dyDescent="0.25">
      <c r="A6881" t="s">
        <v>677</v>
      </c>
      <c r="B6881" t="s">
        <v>266</v>
      </c>
      <c r="C6881" s="2">
        <f>HYPERLINK("https://sao.dolgi.msk.ru/account/1404084364/", 1404084364)</f>
        <v>1404084364</v>
      </c>
      <c r="D6881">
        <v>-528.02</v>
      </c>
    </row>
    <row r="6882" spans="1:4" hidden="1" x14ac:dyDescent="0.25">
      <c r="A6882" t="s">
        <v>677</v>
      </c>
      <c r="B6882" t="s">
        <v>267</v>
      </c>
      <c r="C6882" s="2">
        <f>HYPERLINK("https://sao.dolgi.msk.ru/account/1404082692/", 1404082692)</f>
        <v>1404082692</v>
      </c>
      <c r="D6882">
        <v>-362.82</v>
      </c>
    </row>
    <row r="6883" spans="1:4" hidden="1" x14ac:dyDescent="0.25">
      <c r="A6883" t="s">
        <v>677</v>
      </c>
      <c r="B6883" t="s">
        <v>268</v>
      </c>
      <c r="C6883" s="2">
        <f>HYPERLINK("https://sao.dolgi.msk.ru/account/1404089683/", 1404089683)</f>
        <v>1404089683</v>
      </c>
      <c r="D6883">
        <v>-6920.27</v>
      </c>
    </row>
    <row r="6884" spans="1:4" hidden="1" x14ac:dyDescent="0.25">
      <c r="A6884" t="s">
        <v>677</v>
      </c>
      <c r="B6884" t="s">
        <v>269</v>
      </c>
      <c r="C6884" s="2">
        <f>HYPERLINK("https://sao.dolgi.msk.ru/account/1404084188/", 1404084188)</f>
        <v>1404084188</v>
      </c>
      <c r="D6884">
        <v>-1105</v>
      </c>
    </row>
    <row r="6885" spans="1:4" hidden="1" x14ac:dyDescent="0.25">
      <c r="A6885" t="s">
        <v>677</v>
      </c>
      <c r="B6885" t="s">
        <v>270</v>
      </c>
      <c r="C6885" s="2">
        <f>HYPERLINK("https://sao.dolgi.msk.ru/account/1404084014/", 1404084014)</f>
        <v>1404084014</v>
      </c>
      <c r="D6885">
        <v>-7596.67</v>
      </c>
    </row>
    <row r="6886" spans="1:4" hidden="1" x14ac:dyDescent="0.25">
      <c r="A6886" t="s">
        <v>677</v>
      </c>
      <c r="B6886" t="s">
        <v>271</v>
      </c>
      <c r="C6886" s="2">
        <f>HYPERLINK("https://sao.dolgi.msk.ru/account/1404083804/", 1404083804)</f>
        <v>1404083804</v>
      </c>
      <c r="D6886">
        <v>-3880.41</v>
      </c>
    </row>
    <row r="6887" spans="1:4" hidden="1" x14ac:dyDescent="0.25">
      <c r="A6887" t="s">
        <v>677</v>
      </c>
      <c r="B6887" t="s">
        <v>272</v>
      </c>
      <c r="C6887" s="2">
        <f>HYPERLINK("https://sao.dolgi.msk.ru/account/1404083812/", 1404083812)</f>
        <v>1404083812</v>
      </c>
      <c r="D6887">
        <v>-5767.84</v>
      </c>
    </row>
    <row r="6888" spans="1:4" hidden="1" x14ac:dyDescent="0.25">
      <c r="A6888" t="s">
        <v>677</v>
      </c>
      <c r="B6888" t="s">
        <v>273</v>
      </c>
      <c r="C6888" s="2">
        <f>HYPERLINK("https://sao.dolgi.msk.ru/account/1404084698/", 1404084698)</f>
        <v>1404084698</v>
      </c>
      <c r="D6888">
        <v>-8741.0499999999993</v>
      </c>
    </row>
    <row r="6889" spans="1:4" x14ac:dyDescent="0.25">
      <c r="A6889" t="s">
        <v>677</v>
      </c>
      <c r="B6889" t="s">
        <v>274</v>
      </c>
      <c r="C6889" s="2">
        <f>HYPERLINK("https://sao.dolgi.msk.ru/account/1404089106/", 1404089106)</f>
        <v>1404089106</v>
      </c>
      <c r="D6889">
        <v>40505.03</v>
      </c>
    </row>
    <row r="6890" spans="1:4" hidden="1" x14ac:dyDescent="0.25">
      <c r="A6890" t="s">
        <v>677</v>
      </c>
      <c r="B6890" t="s">
        <v>275</v>
      </c>
      <c r="C6890" s="2">
        <f>HYPERLINK("https://sao.dolgi.msk.ru/account/1404084102/", 1404084102)</f>
        <v>1404084102</v>
      </c>
      <c r="D6890">
        <v>0</v>
      </c>
    </row>
    <row r="6891" spans="1:4" hidden="1" x14ac:dyDescent="0.25">
      <c r="A6891" t="s">
        <v>677</v>
      </c>
      <c r="B6891" t="s">
        <v>276</v>
      </c>
      <c r="C6891" s="2">
        <f>HYPERLINK("https://sao.dolgi.msk.ru/account/1404084006/", 1404084006)</f>
        <v>1404084006</v>
      </c>
      <c r="D6891">
        <v>-6418.79</v>
      </c>
    </row>
    <row r="6892" spans="1:4" hidden="1" x14ac:dyDescent="0.25">
      <c r="A6892" t="s">
        <v>677</v>
      </c>
      <c r="B6892" t="s">
        <v>277</v>
      </c>
      <c r="C6892" s="2">
        <f>HYPERLINK("https://sao.dolgi.msk.ru/account/1404086044/", 1404086044)</f>
        <v>1404086044</v>
      </c>
      <c r="D6892">
        <v>-273.13</v>
      </c>
    </row>
    <row r="6893" spans="1:4" hidden="1" x14ac:dyDescent="0.25">
      <c r="A6893" t="s">
        <v>677</v>
      </c>
      <c r="B6893" t="s">
        <v>278</v>
      </c>
      <c r="C6893" s="2">
        <f>HYPERLINK("https://sao.dolgi.msk.ru/account/1404083628/", 1404083628)</f>
        <v>1404083628</v>
      </c>
      <c r="D6893">
        <v>-5604.53</v>
      </c>
    </row>
    <row r="6894" spans="1:4" hidden="1" x14ac:dyDescent="0.25">
      <c r="A6894" t="s">
        <v>677</v>
      </c>
      <c r="B6894" t="s">
        <v>279</v>
      </c>
      <c r="C6894" s="2">
        <f>HYPERLINK("https://sao.dolgi.msk.ru/account/1404087063/", 1404087063)</f>
        <v>1404087063</v>
      </c>
      <c r="D6894">
        <v>-4433.16</v>
      </c>
    </row>
    <row r="6895" spans="1:4" hidden="1" x14ac:dyDescent="0.25">
      <c r="A6895" t="s">
        <v>677</v>
      </c>
      <c r="B6895" t="s">
        <v>280</v>
      </c>
      <c r="C6895" s="2">
        <f>HYPERLINK("https://sao.dolgi.msk.ru/account/1404082553/", 1404082553)</f>
        <v>1404082553</v>
      </c>
      <c r="D6895">
        <v>-4376.3599999999997</v>
      </c>
    </row>
    <row r="6896" spans="1:4" x14ac:dyDescent="0.25">
      <c r="A6896" t="s">
        <v>677</v>
      </c>
      <c r="B6896" t="s">
        <v>281</v>
      </c>
      <c r="C6896" s="2">
        <f>HYPERLINK("https://sao.dolgi.msk.ru/account/1404090019/", 1404090019)</f>
        <v>1404090019</v>
      </c>
      <c r="D6896">
        <v>7299.16</v>
      </c>
    </row>
    <row r="6897" spans="1:4" hidden="1" x14ac:dyDescent="0.25">
      <c r="A6897" t="s">
        <v>677</v>
      </c>
      <c r="B6897" t="s">
        <v>282</v>
      </c>
      <c r="C6897" s="2">
        <f>HYPERLINK("https://sao.dolgi.msk.ru/account/1404084348/", 1404084348)</f>
        <v>1404084348</v>
      </c>
      <c r="D6897">
        <v>-4489.6899999999996</v>
      </c>
    </row>
    <row r="6898" spans="1:4" hidden="1" x14ac:dyDescent="0.25">
      <c r="A6898" t="s">
        <v>677</v>
      </c>
      <c r="B6898" t="s">
        <v>283</v>
      </c>
      <c r="C6898" s="2">
        <f>HYPERLINK("https://sao.dolgi.msk.ru/account/1404083054/", 1404083054)</f>
        <v>1404083054</v>
      </c>
      <c r="D6898">
        <v>-4912.55</v>
      </c>
    </row>
    <row r="6899" spans="1:4" hidden="1" x14ac:dyDescent="0.25">
      <c r="A6899" t="s">
        <v>677</v>
      </c>
      <c r="B6899" t="s">
        <v>284</v>
      </c>
      <c r="C6899" s="2">
        <f>HYPERLINK("https://sao.dolgi.msk.ru/account/1404087469/", 1404087469)</f>
        <v>1404087469</v>
      </c>
      <c r="D6899">
        <v>-5267.22</v>
      </c>
    </row>
    <row r="6900" spans="1:4" hidden="1" x14ac:dyDescent="0.25">
      <c r="A6900" t="s">
        <v>677</v>
      </c>
      <c r="B6900" t="s">
        <v>285</v>
      </c>
      <c r="C6900" s="2">
        <f>HYPERLINK("https://sao.dolgi.msk.ru/account/1404084356/", 1404084356)</f>
        <v>1404084356</v>
      </c>
      <c r="D6900">
        <v>-4989.38</v>
      </c>
    </row>
    <row r="6901" spans="1:4" hidden="1" x14ac:dyDescent="0.25">
      <c r="A6901" t="s">
        <v>677</v>
      </c>
      <c r="B6901" t="s">
        <v>286</v>
      </c>
      <c r="C6901" s="2">
        <f>HYPERLINK("https://sao.dolgi.msk.ru/account/1404085666/", 1404085666)</f>
        <v>1404085666</v>
      </c>
      <c r="D6901">
        <v>-6246.18</v>
      </c>
    </row>
    <row r="6902" spans="1:4" hidden="1" x14ac:dyDescent="0.25">
      <c r="A6902" t="s">
        <v>677</v>
      </c>
      <c r="B6902" t="s">
        <v>287</v>
      </c>
      <c r="C6902" s="2">
        <f>HYPERLINK("https://sao.dolgi.msk.ru/account/1404082991/", 1404082991)</f>
        <v>1404082991</v>
      </c>
      <c r="D6902">
        <v>-5394</v>
      </c>
    </row>
    <row r="6903" spans="1:4" x14ac:dyDescent="0.25">
      <c r="A6903" t="s">
        <v>677</v>
      </c>
      <c r="B6903" t="s">
        <v>288</v>
      </c>
      <c r="C6903" s="2">
        <f>HYPERLINK("https://sao.dolgi.msk.ru/account/1404100344/", 1404100344)</f>
        <v>1404100344</v>
      </c>
      <c r="D6903">
        <v>9071.69</v>
      </c>
    </row>
    <row r="6904" spans="1:4" hidden="1" x14ac:dyDescent="0.25">
      <c r="A6904" t="s">
        <v>677</v>
      </c>
      <c r="B6904" t="s">
        <v>289</v>
      </c>
      <c r="C6904" s="2">
        <f>HYPERLINK("https://sao.dolgi.msk.ru/account/1404083425/", 1404083425)</f>
        <v>1404083425</v>
      </c>
      <c r="D6904">
        <v>-5440.8</v>
      </c>
    </row>
    <row r="6905" spans="1:4" hidden="1" x14ac:dyDescent="0.25">
      <c r="A6905" t="s">
        <v>677</v>
      </c>
      <c r="B6905" t="s">
        <v>290</v>
      </c>
      <c r="C6905" s="2">
        <f>HYPERLINK("https://sao.dolgi.msk.ru/account/1404082887/", 1404082887)</f>
        <v>1404082887</v>
      </c>
      <c r="D6905">
        <v>-1383.36</v>
      </c>
    </row>
    <row r="6906" spans="1:4" hidden="1" x14ac:dyDescent="0.25">
      <c r="A6906" t="s">
        <v>677</v>
      </c>
      <c r="B6906" t="s">
        <v>291</v>
      </c>
      <c r="C6906" s="2">
        <f>HYPERLINK("https://sao.dolgi.msk.ru/account/1404087397/", 1404087397)</f>
        <v>1404087397</v>
      </c>
      <c r="D6906">
        <v>-4840.7299999999996</v>
      </c>
    </row>
    <row r="6907" spans="1:4" hidden="1" x14ac:dyDescent="0.25">
      <c r="A6907" t="s">
        <v>677</v>
      </c>
      <c r="B6907" t="s">
        <v>292</v>
      </c>
      <c r="C6907" s="2">
        <f>HYPERLINK("https://sao.dolgi.msk.ru/account/1404084575/", 1404084575)</f>
        <v>1404084575</v>
      </c>
      <c r="D6907">
        <v>-5832.04</v>
      </c>
    </row>
    <row r="6908" spans="1:4" hidden="1" x14ac:dyDescent="0.25">
      <c r="A6908" t="s">
        <v>677</v>
      </c>
      <c r="B6908" t="s">
        <v>293</v>
      </c>
      <c r="C6908" s="2">
        <f>HYPERLINK("https://sao.dolgi.msk.ru/account/1404086028/", 1404086028)</f>
        <v>1404086028</v>
      </c>
      <c r="D6908">
        <v>-4118.55</v>
      </c>
    </row>
    <row r="6909" spans="1:4" x14ac:dyDescent="0.25">
      <c r="A6909" t="s">
        <v>677</v>
      </c>
      <c r="B6909" t="s">
        <v>294</v>
      </c>
      <c r="C6909" s="2">
        <f>HYPERLINK("https://sao.dolgi.msk.ru/account/1404084153/", 1404084153)</f>
        <v>1404084153</v>
      </c>
      <c r="D6909">
        <v>45622.48</v>
      </c>
    </row>
    <row r="6910" spans="1:4" hidden="1" x14ac:dyDescent="0.25">
      <c r="A6910" t="s">
        <v>677</v>
      </c>
      <c r="B6910" t="s">
        <v>295</v>
      </c>
      <c r="C6910" s="2">
        <f>HYPERLINK("https://sao.dolgi.msk.ru/account/1404084073/", 1404084073)</f>
        <v>1404084073</v>
      </c>
      <c r="D6910">
        <v>-5498.87</v>
      </c>
    </row>
    <row r="6911" spans="1:4" hidden="1" x14ac:dyDescent="0.25">
      <c r="A6911" t="s">
        <v>677</v>
      </c>
      <c r="B6911" t="s">
        <v>296</v>
      </c>
      <c r="C6911" s="2">
        <f>HYPERLINK("https://sao.dolgi.msk.ru/account/1404084831/", 1404084831)</f>
        <v>1404084831</v>
      </c>
      <c r="D6911">
        <v>-5116.57</v>
      </c>
    </row>
    <row r="6912" spans="1:4" x14ac:dyDescent="0.25">
      <c r="A6912" t="s">
        <v>677</v>
      </c>
      <c r="B6912" t="s">
        <v>297</v>
      </c>
      <c r="C6912" s="2">
        <f>HYPERLINK("https://sao.dolgi.msk.ru/account/1404084874/", 1404084874)</f>
        <v>1404084874</v>
      </c>
      <c r="D6912">
        <v>4730.4799999999996</v>
      </c>
    </row>
    <row r="6913" spans="1:4" hidden="1" x14ac:dyDescent="0.25">
      <c r="A6913" t="s">
        <v>677</v>
      </c>
      <c r="B6913" t="s">
        <v>298</v>
      </c>
      <c r="C6913" s="2">
        <f>HYPERLINK("https://sao.dolgi.msk.ru/account/1404083177/", 1404083177)</f>
        <v>1404083177</v>
      </c>
      <c r="D6913">
        <v>-5679.69</v>
      </c>
    </row>
    <row r="6914" spans="1:4" hidden="1" x14ac:dyDescent="0.25">
      <c r="A6914" t="s">
        <v>677</v>
      </c>
      <c r="B6914" t="s">
        <v>299</v>
      </c>
      <c r="C6914" s="2">
        <f>HYPERLINK("https://sao.dolgi.msk.ru/account/1404082502/", 1404082502)</f>
        <v>1404082502</v>
      </c>
      <c r="D6914">
        <v>-3317.66</v>
      </c>
    </row>
    <row r="6915" spans="1:4" hidden="1" x14ac:dyDescent="0.25">
      <c r="A6915" t="s">
        <v>677</v>
      </c>
      <c r="B6915" t="s">
        <v>300</v>
      </c>
      <c r="C6915" s="2">
        <f>HYPERLINK("https://sao.dolgi.msk.ru/account/1404083839/", 1404083839)</f>
        <v>1404083839</v>
      </c>
      <c r="D6915">
        <v>-6119.94</v>
      </c>
    </row>
    <row r="6916" spans="1:4" hidden="1" x14ac:dyDescent="0.25">
      <c r="A6916" t="s">
        <v>677</v>
      </c>
      <c r="B6916" t="s">
        <v>301</v>
      </c>
      <c r="C6916" s="2">
        <f>HYPERLINK("https://sao.dolgi.msk.ru/account/1404088509/", 1404088509)</f>
        <v>1404088509</v>
      </c>
      <c r="D6916">
        <v>-6777.65</v>
      </c>
    </row>
    <row r="6917" spans="1:4" x14ac:dyDescent="0.25">
      <c r="A6917" t="s">
        <v>677</v>
      </c>
      <c r="B6917" t="s">
        <v>302</v>
      </c>
      <c r="C6917" s="2">
        <f>HYPERLINK("https://sao.dolgi.msk.ru/account/1404089093/", 1404089093)</f>
        <v>1404089093</v>
      </c>
      <c r="D6917">
        <v>51141.62</v>
      </c>
    </row>
    <row r="6918" spans="1:4" hidden="1" x14ac:dyDescent="0.25">
      <c r="A6918" t="s">
        <v>677</v>
      </c>
      <c r="B6918" t="s">
        <v>303</v>
      </c>
      <c r="C6918" s="2">
        <f>HYPERLINK("https://sao.dolgi.msk.ru/account/1404083724/", 1404083724)</f>
        <v>1404083724</v>
      </c>
      <c r="D6918">
        <v>-4022.28</v>
      </c>
    </row>
    <row r="6919" spans="1:4" hidden="1" x14ac:dyDescent="0.25">
      <c r="A6919" t="s">
        <v>677</v>
      </c>
      <c r="B6919" t="s">
        <v>304</v>
      </c>
      <c r="C6919" s="2">
        <f>HYPERLINK("https://sao.dolgi.msk.ru/account/1404089667/", 1404089667)</f>
        <v>1404089667</v>
      </c>
      <c r="D6919">
        <v>-7606.29</v>
      </c>
    </row>
    <row r="6920" spans="1:4" hidden="1" x14ac:dyDescent="0.25">
      <c r="A6920" t="s">
        <v>677</v>
      </c>
      <c r="B6920" t="s">
        <v>305</v>
      </c>
      <c r="C6920" s="2">
        <f>HYPERLINK("https://sao.dolgi.msk.ru/account/1404084145/", 1404084145)</f>
        <v>1404084145</v>
      </c>
      <c r="D6920">
        <v>-4802.0600000000004</v>
      </c>
    </row>
    <row r="6921" spans="1:4" hidden="1" x14ac:dyDescent="0.25">
      <c r="A6921" t="s">
        <v>677</v>
      </c>
      <c r="B6921" t="s">
        <v>306</v>
      </c>
      <c r="C6921" s="2">
        <f>HYPERLINK("https://sao.dolgi.msk.ru/account/1404089632/", 1404089632)</f>
        <v>1404089632</v>
      </c>
      <c r="D6921">
        <v>-14934.53</v>
      </c>
    </row>
    <row r="6922" spans="1:4" hidden="1" x14ac:dyDescent="0.25">
      <c r="A6922" t="s">
        <v>677</v>
      </c>
      <c r="B6922" t="s">
        <v>307</v>
      </c>
      <c r="C6922" s="2">
        <f>HYPERLINK("https://sao.dolgi.msk.ru/account/1404085236/", 1404085236)</f>
        <v>1404085236</v>
      </c>
      <c r="D6922">
        <v>-3905.26</v>
      </c>
    </row>
    <row r="6923" spans="1:4" hidden="1" x14ac:dyDescent="0.25">
      <c r="A6923" t="s">
        <v>677</v>
      </c>
      <c r="B6923" t="s">
        <v>308</v>
      </c>
      <c r="C6923" s="2">
        <f>HYPERLINK("https://sao.dolgi.msk.ru/account/1404082799/", 1404082799)</f>
        <v>1404082799</v>
      </c>
      <c r="D6923">
        <v>-3811.14</v>
      </c>
    </row>
    <row r="6924" spans="1:4" hidden="1" x14ac:dyDescent="0.25">
      <c r="A6924" t="s">
        <v>677</v>
      </c>
      <c r="B6924" t="s">
        <v>309</v>
      </c>
      <c r="C6924" s="2">
        <f>HYPERLINK("https://sao.dolgi.msk.ru/account/1404088357/", 1404088357)</f>
        <v>1404088357</v>
      </c>
      <c r="D6924">
        <v>0</v>
      </c>
    </row>
    <row r="6925" spans="1:4" hidden="1" x14ac:dyDescent="0.25">
      <c r="A6925" t="s">
        <v>677</v>
      </c>
      <c r="B6925" t="s">
        <v>310</v>
      </c>
      <c r="C6925" s="2">
        <f>HYPERLINK("https://sao.dolgi.msk.ru/account/1404084743/", 1404084743)</f>
        <v>1404084743</v>
      </c>
      <c r="D6925">
        <v>0</v>
      </c>
    </row>
    <row r="6926" spans="1:4" hidden="1" x14ac:dyDescent="0.25">
      <c r="A6926" t="s">
        <v>677</v>
      </c>
      <c r="B6926" t="s">
        <v>311</v>
      </c>
      <c r="C6926" s="2">
        <f>HYPERLINK("https://sao.dolgi.msk.ru/account/1404083599/", 1404083599)</f>
        <v>1404083599</v>
      </c>
      <c r="D6926">
        <v>-71.98</v>
      </c>
    </row>
    <row r="6927" spans="1:4" hidden="1" x14ac:dyDescent="0.25">
      <c r="A6927" t="s">
        <v>677</v>
      </c>
      <c r="B6927" t="s">
        <v>312</v>
      </c>
      <c r="C6927" s="2">
        <f>HYPERLINK("https://sao.dolgi.msk.ru/account/1404088461/", 1404088461)</f>
        <v>1404088461</v>
      </c>
      <c r="D6927">
        <v>-6400.05</v>
      </c>
    </row>
    <row r="6928" spans="1:4" hidden="1" x14ac:dyDescent="0.25">
      <c r="A6928" t="s">
        <v>677</v>
      </c>
      <c r="B6928" t="s">
        <v>313</v>
      </c>
      <c r="C6928" s="2">
        <f>HYPERLINK("https://sao.dolgi.msk.ru/account/1404089085/", 1404089085)</f>
        <v>1404089085</v>
      </c>
      <c r="D6928">
        <v>-7707.49</v>
      </c>
    </row>
    <row r="6929" spans="1:4" hidden="1" x14ac:dyDescent="0.25">
      <c r="A6929" t="s">
        <v>677</v>
      </c>
      <c r="B6929" t="s">
        <v>314</v>
      </c>
      <c r="C6929" s="2">
        <f>HYPERLINK("https://sao.dolgi.msk.ru/account/1404155521/", 1404155521)</f>
        <v>1404155521</v>
      </c>
      <c r="D6929">
        <v>-8669.42</v>
      </c>
    </row>
    <row r="6930" spans="1:4" hidden="1" x14ac:dyDescent="0.25">
      <c r="A6930" t="s">
        <v>677</v>
      </c>
      <c r="B6930" t="s">
        <v>315</v>
      </c>
      <c r="C6930" s="2">
        <f>HYPERLINK("https://sao.dolgi.msk.ru/account/1404100395/", 1404100395)</f>
        <v>1404100395</v>
      </c>
      <c r="D6930">
        <v>-6917.86</v>
      </c>
    </row>
    <row r="6931" spans="1:4" hidden="1" x14ac:dyDescent="0.25">
      <c r="A6931" t="s">
        <v>677</v>
      </c>
      <c r="B6931" t="s">
        <v>316</v>
      </c>
      <c r="C6931" s="2">
        <f>HYPERLINK("https://sao.dolgi.msk.ru/account/1404086394/", 1404086394)</f>
        <v>1404086394</v>
      </c>
      <c r="D6931">
        <v>-3839.97</v>
      </c>
    </row>
    <row r="6932" spans="1:4" x14ac:dyDescent="0.25">
      <c r="A6932" t="s">
        <v>677</v>
      </c>
      <c r="B6932" t="s">
        <v>317</v>
      </c>
      <c r="C6932" s="2">
        <f>HYPERLINK("https://sao.dolgi.msk.ru/account/1404087346/", 1404087346)</f>
        <v>1404087346</v>
      </c>
      <c r="D6932">
        <v>107678.32</v>
      </c>
    </row>
    <row r="6933" spans="1:4" hidden="1" x14ac:dyDescent="0.25">
      <c r="A6933" t="s">
        <v>677</v>
      </c>
      <c r="B6933" t="s">
        <v>318</v>
      </c>
      <c r="C6933" s="2">
        <f>HYPERLINK("https://sao.dolgi.msk.ru/account/1404082633/", 1404082633)</f>
        <v>1404082633</v>
      </c>
      <c r="D6933">
        <v>-921.22</v>
      </c>
    </row>
    <row r="6934" spans="1:4" hidden="1" x14ac:dyDescent="0.25">
      <c r="A6934" t="s">
        <v>677</v>
      </c>
      <c r="B6934" t="s">
        <v>319</v>
      </c>
      <c r="C6934" s="2">
        <f>HYPERLINK("https://sao.dolgi.msk.ru/account/1404084778/", 1404084778)</f>
        <v>1404084778</v>
      </c>
      <c r="D6934">
        <v>-6468.06</v>
      </c>
    </row>
    <row r="6935" spans="1:4" hidden="1" x14ac:dyDescent="0.25">
      <c r="A6935" t="s">
        <v>677</v>
      </c>
      <c r="B6935" t="s">
        <v>422</v>
      </c>
      <c r="C6935" s="2">
        <f>HYPERLINK("https://sao.dolgi.msk.ru/account/1404089376/", 1404089376)</f>
        <v>1404089376</v>
      </c>
      <c r="D6935">
        <v>-5678.04</v>
      </c>
    </row>
    <row r="6936" spans="1:4" hidden="1" x14ac:dyDescent="0.25">
      <c r="A6936" t="s">
        <v>677</v>
      </c>
      <c r="B6936" t="s">
        <v>423</v>
      </c>
      <c r="C6936" s="2">
        <f>HYPERLINK("https://sao.dolgi.msk.ru/account/1404089026/", 1404089026)</f>
        <v>1404089026</v>
      </c>
      <c r="D6936">
        <v>-2706.23</v>
      </c>
    </row>
    <row r="6937" spans="1:4" hidden="1" x14ac:dyDescent="0.25">
      <c r="A6937" t="s">
        <v>677</v>
      </c>
      <c r="B6937" t="s">
        <v>424</v>
      </c>
      <c r="C6937" s="2">
        <f>HYPERLINK("https://sao.dolgi.msk.ru/account/1404082617/", 1404082617)</f>
        <v>1404082617</v>
      </c>
      <c r="D6937">
        <v>-4137.8999999999996</v>
      </c>
    </row>
    <row r="6938" spans="1:4" hidden="1" x14ac:dyDescent="0.25">
      <c r="A6938" t="s">
        <v>677</v>
      </c>
      <c r="B6938" t="s">
        <v>425</v>
      </c>
      <c r="C6938" s="2">
        <f>HYPERLINK("https://sao.dolgi.msk.ru/account/1404084495/", 1404084495)</f>
        <v>1404084495</v>
      </c>
      <c r="D6938">
        <v>-4984.3500000000004</v>
      </c>
    </row>
    <row r="6939" spans="1:4" hidden="1" x14ac:dyDescent="0.25">
      <c r="A6939" t="s">
        <v>677</v>
      </c>
      <c r="B6939" t="s">
        <v>426</v>
      </c>
      <c r="C6939" s="2">
        <f>HYPERLINK("https://sao.dolgi.msk.ru/account/1404083505/", 1404083505)</f>
        <v>1404083505</v>
      </c>
      <c r="D6939">
        <v>-6699.25</v>
      </c>
    </row>
    <row r="6940" spans="1:4" hidden="1" x14ac:dyDescent="0.25">
      <c r="A6940" t="s">
        <v>677</v>
      </c>
      <c r="B6940" t="s">
        <v>427</v>
      </c>
      <c r="C6940" s="2">
        <f>HYPERLINK("https://sao.dolgi.msk.ru/account/1404083126/", 1404083126)</f>
        <v>1404083126</v>
      </c>
      <c r="D6940">
        <v>-3495.37</v>
      </c>
    </row>
    <row r="6941" spans="1:4" hidden="1" x14ac:dyDescent="0.25">
      <c r="A6941" t="s">
        <v>677</v>
      </c>
      <c r="B6941" t="s">
        <v>428</v>
      </c>
      <c r="C6941" s="2">
        <f>HYPERLINK("https://sao.dolgi.msk.ru/account/1404086917/", 1404086917)</f>
        <v>1404086917</v>
      </c>
      <c r="D6941">
        <v>-71.98</v>
      </c>
    </row>
    <row r="6942" spans="1:4" hidden="1" x14ac:dyDescent="0.25">
      <c r="A6942" t="s">
        <v>677</v>
      </c>
      <c r="B6942" t="s">
        <v>321</v>
      </c>
      <c r="C6942" s="2">
        <f>HYPERLINK("https://sao.dolgi.msk.ru/account/1404085914/", 1404085914)</f>
        <v>1404085914</v>
      </c>
      <c r="D6942">
        <v>-272.63</v>
      </c>
    </row>
    <row r="6943" spans="1:4" hidden="1" x14ac:dyDescent="0.25">
      <c r="A6943" t="s">
        <v>677</v>
      </c>
      <c r="B6943" t="s">
        <v>322</v>
      </c>
      <c r="C6943" s="2">
        <f>HYPERLINK("https://sao.dolgi.msk.ru/account/1404088111/", 1404088111)</f>
        <v>1404088111</v>
      </c>
      <c r="D6943">
        <v>0</v>
      </c>
    </row>
    <row r="6944" spans="1:4" hidden="1" x14ac:dyDescent="0.25">
      <c r="A6944" t="s">
        <v>677</v>
      </c>
      <c r="B6944" t="s">
        <v>323</v>
      </c>
      <c r="C6944" s="2">
        <f>HYPERLINK("https://sao.dolgi.msk.ru/account/1404087485/", 1404087485)</f>
        <v>1404087485</v>
      </c>
      <c r="D6944">
        <v>-10780.18</v>
      </c>
    </row>
    <row r="6945" spans="1:4" hidden="1" x14ac:dyDescent="0.25">
      <c r="A6945" t="s">
        <v>677</v>
      </c>
      <c r="B6945" t="s">
        <v>324</v>
      </c>
      <c r="C6945" s="2">
        <f>HYPERLINK("https://sao.dolgi.msk.ru/account/1404085594/", 1404085594)</f>
        <v>1404085594</v>
      </c>
      <c r="D6945">
        <v>-5291.2</v>
      </c>
    </row>
    <row r="6946" spans="1:4" hidden="1" x14ac:dyDescent="0.25">
      <c r="A6946" t="s">
        <v>677</v>
      </c>
      <c r="B6946" t="s">
        <v>325</v>
      </c>
      <c r="C6946" s="2">
        <f>HYPERLINK("https://sao.dolgi.msk.ru/account/1404082748/", 1404082748)</f>
        <v>1404082748</v>
      </c>
      <c r="D6946">
        <v>-23219.599999999999</v>
      </c>
    </row>
    <row r="6947" spans="1:4" hidden="1" x14ac:dyDescent="0.25">
      <c r="A6947" t="s">
        <v>677</v>
      </c>
      <c r="B6947" t="s">
        <v>326</v>
      </c>
      <c r="C6947" s="2">
        <f>HYPERLINK("https://sao.dolgi.msk.ru/account/1404083775/", 1404083775)</f>
        <v>1404083775</v>
      </c>
      <c r="D6947">
        <v>-2104.3000000000002</v>
      </c>
    </row>
    <row r="6948" spans="1:4" hidden="1" x14ac:dyDescent="0.25">
      <c r="A6948" t="s">
        <v>677</v>
      </c>
      <c r="B6948" t="s">
        <v>327</v>
      </c>
      <c r="C6948" s="2">
        <f>HYPERLINK("https://sao.dolgi.msk.ru/account/1404083863/", 1404083863)</f>
        <v>1404083863</v>
      </c>
      <c r="D6948">
        <v>-4171.3100000000004</v>
      </c>
    </row>
    <row r="6949" spans="1:4" x14ac:dyDescent="0.25">
      <c r="A6949" t="s">
        <v>677</v>
      </c>
      <c r="B6949" t="s">
        <v>328</v>
      </c>
      <c r="C6949" s="2">
        <f>HYPERLINK("https://sao.dolgi.msk.ru/account/1404088832/", 1404088832)</f>
        <v>1404088832</v>
      </c>
      <c r="D6949">
        <v>6595.01</v>
      </c>
    </row>
    <row r="6950" spans="1:4" hidden="1" x14ac:dyDescent="0.25">
      <c r="A6950" t="s">
        <v>677</v>
      </c>
      <c r="B6950" t="s">
        <v>329</v>
      </c>
      <c r="C6950" s="2">
        <f>HYPERLINK("https://sao.dolgi.msk.ru/account/1404086167/", 1404086167)</f>
        <v>1404086167</v>
      </c>
      <c r="D6950">
        <v>-614.16</v>
      </c>
    </row>
    <row r="6951" spans="1:4" hidden="1" x14ac:dyDescent="0.25">
      <c r="A6951" t="s">
        <v>677</v>
      </c>
      <c r="B6951" t="s">
        <v>330</v>
      </c>
      <c r="C6951" s="2">
        <f>HYPERLINK("https://sao.dolgi.msk.ru/account/1404083871/", 1404083871)</f>
        <v>1404083871</v>
      </c>
      <c r="D6951">
        <v>-4625.5600000000004</v>
      </c>
    </row>
    <row r="6952" spans="1:4" hidden="1" x14ac:dyDescent="0.25">
      <c r="A6952" t="s">
        <v>677</v>
      </c>
      <c r="B6952" t="s">
        <v>331</v>
      </c>
      <c r="C6952" s="2">
        <f>HYPERLINK("https://sao.dolgi.msk.ru/account/1404084065/", 1404084065)</f>
        <v>1404084065</v>
      </c>
      <c r="D6952">
        <v>-6409.61</v>
      </c>
    </row>
    <row r="6953" spans="1:4" hidden="1" x14ac:dyDescent="0.25">
      <c r="A6953" t="s">
        <v>677</v>
      </c>
      <c r="B6953" t="s">
        <v>332</v>
      </c>
      <c r="C6953" s="2">
        <f>HYPERLINK("https://sao.dolgi.msk.ru/account/1404089624/", 1404089624)</f>
        <v>1404089624</v>
      </c>
      <c r="D6953">
        <v>-7204.32</v>
      </c>
    </row>
    <row r="6954" spans="1:4" hidden="1" x14ac:dyDescent="0.25">
      <c r="A6954" t="s">
        <v>677</v>
      </c>
      <c r="B6954" t="s">
        <v>333</v>
      </c>
      <c r="C6954" s="2">
        <f>HYPERLINK("https://sao.dolgi.msk.ru/account/1404084794/", 1404084794)</f>
        <v>1404084794</v>
      </c>
      <c r="D6954">
        <v>0</v>
      </c>
    </row>
    <row r="6955" spans="1:4" hidden="1" x14ac:dyDescent="0.25">
      <c r="A6955" t="s">
        <v>677</v>
      </c>
      <c r="B6955" t="s">
        <v>333</v>
      </c>
      <c r="C6955" s="2">
        <f>HYPERLINK("https://sao.dolgi.msk.ru/account/1404093295/", 1404093295)</f>
        <v>1404093295</v>
      </c>
      <c r="D6955">
        <v>0</v>
      </c>
    </row>
    <row r="6956" spans="1:4" hidden="1" x14ac:dyDescent="0.25">
      <c r="A6956" t="s">
        <v>677</v>
      </c>
      <c r="B6956" t="s">
        <v>334</v>
      </c>
      <c r="C6956" s="2">
        <f>HYPERLINK("https://sao.dolgi.msk.ru/account/1404083572/", 1404083572)</f>
        <v>1404083572</v>
      </c>
      <c r="D6956">
        <v>-6231.91</v>
      </c>
    </row>
    <row r="6957" spans="1:4" hidden="1" x14ac:dyDescent="0.25">
      <c r="A6957" t="s">
        <v>677</v>
      </c>
      <c r="B6957" t="s">
        <v>335</v>
      </c>
      <c r="C6957" s="2">
        <f>HYPERLINK("https://sao.dolgi.msk.ru/account/1404083097/", 1404083097)</f>
        <v>1404083097</v>
      </c>
      <c r="D6957">
        <v>0</v>
      </c>
    </row>
    <row r="6958" spans="1:4" hidden="1" x14ac:dyDescent="0.25">
      <c r="A6958" t="s">
        <v>677</v>
      </c>
      <c r="B6958" t="s">
        <v>336</v>
      </c>
      <c r="C6958" s="2">
        <f>HYPERLINK("https://sao.dolgi.msk.ru/account/1404083003/", 1404083003)</f>
        <v>1404083003</v>
      </c>
      <c r="D6958">
        <v>-671.82</v>
      </c>
    </row>
    <row r="6959" spans="1:4" hidden="1" x14ac:dyDescent="0.25">
      <c r="A6959" t="s">
        <v>677</v>
      </c>
      <c r="B6959" t="s">
        <v>337</v>
      </c>
      <c r="C6959" s="2">
        <f>HYPERLINK("https://sao.dolgi.msk.ru/account/1404082852/", 1404082852)</f>
        <v>1404082852</v>
      </c>
      <c r="D6959">
        <v>-400</v>
      </c>
    </row>
    <row r="6960" spans="1:4" x14ac:dyDescent="0.25">
      <c r="A6960" t="s">
        <v>677</v>
      </c>
      <c r="B6960" t="s">
        <v>338</v>
      </c>
      <c r="C6960" s="2">
        <f>HYPERLINK("https://sao.dolgi.msk.ru/account/1404091214/", 1404091214)</f>
        <v>1404091214</v>
      </c>
      <c r="D6960">
        <v>12385.24</v>
      </c>
    </row>
    <row r="6961" spans="1:4" hidden="1" x14ac:dyDescent="0.25">
      <c r="A6961" t="s">
        <v>677</v>
      </c>
      <c r="B6961" t="s">
        <v>339</v>
      </c>
      <c r="C6961" s="2">
        <f>HYPERLINK("https://sao.dolgi.msk.ru/account/1404083118/", 1404083118)</f>
        <v>1404083118</v>
      </c>
      <c r="D6961">
        <v>0</v>
      </c>
    </row>
    <row r="6962" spans="1:4" hidden="1" x14ac:dyDescent="0.25">
      <c r="A6962" t="s">
        <v>677</v>
      </c>
      <c r="B6962" t="s">
        <v>340</v>
      </c>
      <c r="C6962" s="2">
        <f>HYPERLINK("https://sao.dolgi.msk.ru/account/1404083134/", 1404083134)</f>
        <v>1404083134</v>
      </c>
      <c r="D6962">
        <v>-3997.92</v>
      </c>
    </row>
    <row r="6963" spans="1:4" x14ac:dyDescent="0.25">
      <c r="A6963" t="s">
        <v>677</v>
      </c>
      <c r="B6963" t="s">
        <v>341</v>
      </c>
      <c r="C6963" s="2">
        <f>HYPERLINK("https://sao.dolgi.msk.ru/account/1404089501/", 1404089501)</f>
        <v>1404089501</v>
      </c>
      <c r="D6963">
        <v>5498.89</v>
      </c>
    </row>
    <row r="6964" spans="1:4" hidden="1" x14ac:dyDescent="0.25">
      <c r="A6964" t="s">
        <v>677</v>
      </c>
      <c r="B6964" t="s">
        <v>342</v>
      </c>
      <c r="C6964" s="2">
        <f>HYPERLINK("https://sao.dolgi.msk.ru/account/1404084866/", 1404084866)</f>
        <v>1404084866</v>
      </c>
      <c r="D6964">
        <v>-3987.72</v>
      </c>
    </row>
    <row r="6965" spans="1:4" hidden="1" x14ac:dyDescent="0.25">
      <c r="A6965" t="s">
        <v>677</v>
      </c>
      <c r="B6965" t="s">
        <v>343</v>
      </c>
      <c r="C6965" s="2">
        <f>HYPERLINK("https://sao.dolgi.msk.ru/account/1404084217/", 1404084217)</f>
        <v>1404084217</v>
      </c>
      <c r="D6965">
        <v>-3871.61</v>
      </c>
    </row>
    <row r="6966" spans="1:4" x14ac:dyDescent="0.25">
      <c r="A6966" t="s">
        <v>677</v>
      </c>
      <c r="B6966" t="s">
        <v>344</v>
      </c>
      <c r="C6966" s="2">
        <f>HYPERLINK("https://sao.dolgi.msk.ru/account/1404085455/", 1404085455)</f>
        <v>1404085455</v>
      </c>
      <c r="D6966">
        <v>36858.36</v>
      </c>
    </row>
    <row r="6967" spans="1:4" x14ac:dyDescent="0.25">
      <c r="A6967" t="s">
        <v>677</v>
      </c>
      <c r="B6967" t="s">
        <v>345</v>
      </c>
      <c r="C6967" s="2">
        <f>HYPERLINK("https://sao.dolgi.msk.ru/account/1404090051/", 1404090051)</f>
        <v>1404090051</v>
      </c>
      <c r="D6967">
        <v>81305.09</v>
      </c>
    </row>
    <row r="6968" spans="1:4" x14ac:dyDescent="0.25">
      <c r="A6968" t="s">
        <v>677</v>
      </c>
      <c r="B6968" t="s">
        <v>345</v>
      </c>
      <c r="C6968" s="2">
        <f>HYPERLINK("https://sao.dolgi.msk.ru/account/1404090182/", 1404090182)</f>
        <v>1404090182</v>
      </c>
      <c r="D6968">
        <v>134523.63</v>
      </c>
    </row>
    <row r="6969" spans="1:4" hidden="1" x14ac:dyDescent="0.25">
      <c r="A6969" t="s">
        <v>677</v>
      </c>
      <c r="B6969" t="s">
        <v>346</v>
      </c>
      <c r="C6969" s="2">
        <f>HYPERLINK("https://sao.dolgi.msk.ru/account/1404084911/", 1404084911)</f>
        <v>1404084911</v>
      </c>
      <c r="D6969">
        <v>-6912.65</v>
      </c>
    </row>
    <row r="6970" spans="1:4" hidden="1" x14ac:dyDescent="0.25">
      <c r="A6970" t="s">
        <v>677</v>
      </c>
      <c r="B6970" t="s">
        <v>347</v>
      </c>
      <c r="C6970" s="2">
        <f>HYPERLINK("https://sao.dolgi.msk.ru/account/1404089659/", 1404089659)</f>
        <v>1404089659</v>
      </c>
      <c r="D6970">
        <v>-434.88</v>
      </c>
    </row>
    <row r="6971" spans="1:4" hidden="1" x14ac:dyDescent="0.25">
      <c r="A6971" t="s">
        <v>677</v>
      </c>
      <c r="B6971" t="s">
        <v>348</v>
      </c>
      <c r="C6971" s="2">
        <f>HYPERLINK("https://sao.dolgi.msk.ru/account/1404083601/", 1404083601)</f>
        <v>1404083601</v>
      </c>
      <c r="D6971">
        <v>-6625.77</v>
      </c>
    </row>
    <row r="6972" spans="1:4" hidden="1" x14ac:dyDescent="0.25">
      <c r="A6972" t="s">
        <v>677</v>
      </c>
      <c r="B6972" t="s">
        <v>349</v>
      </c>
      <c r="C6972" s="2">
        <f>HYPERLINK("https://sao.dolgi.msk.ru/account/1404083388/", 1404083388)</f>
        <v>1404083388</v>
      </c>
      <c r="D6972">
        <v>-4535.18</v>
      </c>
    </row>
    <row r="6973" spans="1:4" hidden="1" x14ac:dyDescent="0.25">
      <c r="A6973" t="s">
        <v>677</v>
      </c>
      <c r="B6973" t="s">
        <v>350</v>
      </c>
      <c r="C6973" s="2">
        <f>HYPERLINK("https://sao.dolgi.msk.ru/account/1404085201/", 1404085201)</f>
        <v>1404085201</v>
      </c>
      <c r="D6973">
        <v>0</v>
      </c>
    </row>
    <row r="6974" spans="1:4" hidden="1" x14ac:dyDescent="0.25">
      <c r="A6974" t="s">
        <v>677</v>
      </c>
      <c r="B6974" t="s">
        <v>351</v>
      </c>
      <c r="C6974" s="2">
        <f>HYPERLINK("https://sao.dolgi.msk.ru/account/1404087071/", 1404087071)</f>
        <v>1404087071</v>
      </c>
      <c r="D6974">
        <v>-3113.77</v>
      </c>
    </row>
    <row r="6975" spans="1:4" hidden="1" x14ac:dyDescent="0.25">
      <c r="A6975" t="s">
        <v>677</v>
      </c>
      <c r="B6975" t="s">
        <v>352</v>
      </c>
      <c r="C6975" s="2">
        <f>HYPERLINK("https://sao.dolgi.msk.ru/account/1404088218/", 1404088218)</f>
        <v>1404088218</v>
      </c>
      <c r="D6975">
        <v>-8021.36</v>
      </c>
    </row>
    <row r="6976" spans="1:4" hidden="1" x14ac:dyDescent="0.25">
      <c r="A6976" t="s">
        <v>677</v>
      </c>
      <c r="B6976" t="s">
        <v>353</v>
      </c>
      <c r="C6976" s="2">
        <f>HYPERLINK("https://sao.dolgi.msk.ru/account/1404089552/", 1404089552)</f>
        <v>1404089552</v>
      </c>
      <c r="D6976">
        <v>-0.32</v>
      </c>
    </row>
    <row r="6977" spans="1:4" hidden="1" x14ac:dyDescent="0.25">
      <c r="A6977" t="s">
        <v>677</v>
      </c>
      <c r="B6977" t="s">
        <v>354</v>
      </c>
      <c r="C6977" s="2">
        <f>HYPERLINK("https://sao.dolgi.msk.ru/account/1404083062/", 1404083062)</f>
        <v>1404083062</v>
      </c>
      <c r="D6977">
        <v>-6289.33</v>
      </c>
    </row>
    <row r="6978" spans="1:4" hidden="1" x14ac:dyDescent="0.25">
      <c r="A6978" t="s">
        <v>677</v>
      </c>
      <c r="B6978" t="s">
        <v>355</v>
      </c>
      <c r="C6978" s="2">
        <f>HYPERLINK("https://sao.dolgi.msk.ru/account/1404088701/", 1404088701)</f>
        <v>1404088701</v>
      </c>
      <c r="D6978">
        <v>-274.63</v>
      </c>
    </row>
    <row r="6979" spans="1:4" hidden="1" x14ac:dyDescent="0.25">
      <c r="A6979" t="s">
        <v>677</v>
      </c>
      <c r="B6979" t="s">
        <v>356</v>
      </c>
      <c r="C6979" s="2">
        <f>HYPERLINK("https://sao.dolgi.msk.ru/account/1404083847/", 1404083847)</f>
        <v>1404083847</v>
      </c>
      <c r="D6979">
        <v>-7000.95</v>
      </c>
    </row>
    <row r="6980" spans="1:4" hidden="1" x14ac:dyDescent="0.25">
      <c r="A6980" t="s">
        <v>677</v>
      </c>
      <c r="B6980" t="s">
        <v>357</v>
      </c>
      <c r="C6980" s="2">
        <f>HYPERLINK("https://sao.dolgi.msk.ru/account/1404085498/", 1404085498)</f>
        <v>1404085498</v>
      </c>
      <c r="D6980">
        <v>-6635.66</v>
      </c>
    </row>
    <row r="6981" spans="1:4" hidden="1" x14ac:dyDescent="0.25">
      <c r="A6981" t="s">
        <v>677</v>
      </c>
      <c r="B6981" t="s">
        <v>358</v>
      </c>
      <c r="C6981" s="2">
        <f>HYPERLINK("https://sao.dolgi.msk.ru/account/1404089042/", 1404089042)</f>
        <v>1404089042</v>
      </c>
      <c r="D6981">
        <v>-6724.52</v>
      </c>
    </row>
    <row r="6982" spans="1:4" hidden="1" x14ac:dyDescent="0.25">
      <c r="A6982" t="s">
        <v>677</v>
      </c>
      <c r="B6982" t="s">
        <v>359</v>
      </c>
      <c r="C6982" s="2">
        <f>HYPERLINK("https://sao.dolgi.msk.ru/account/1404083417/", 1404083417)</f>
        <v>1404083417</v>
      </c>
      <c r="D6982">
        <v>-3369.33</v>
      </c>
    </row>
    <row r="6983" spans="1:4" x14ac:dyDescent="0.25">
      <c r="A6983" t="s">
        <v>677</v>
      </c>
      <c r="B6983" t="s">
        <v>360</v>
      </c>
      <c r="C6983" s="2">
        <f>HYPERLINK("https://sao.dolgi.msk.ru/account/1404083257/", 1404083257)</f>
        <v>1404083257</v>
      </c>
      <c r="D6983">
        <v>37727.93</v>
      </c>
    </row>
    <row r="6984" spans="1:4" hidden="1" x14ac:dyDescent="0.25">
      <c r="A6984" t="s">
        <v>677</v>
      </c>
      <c r="B6984" t="s">
        <v>361</v>
      </c>
      <c r="C6984" s="2">
        <f>HYPERLINK("https://sao.dolgi.msk.ru/account/1404084399/", 1404084399)</f>
        <v>1404084399</v>
      </c>
      <c r="D6984">
        <v>-7220.95</v>
      </c>
    </row>
    <row r="6985" spans="1:4" hidden="1" x14ac:dyDescent="0.25">
      <c r="A6985" t="s">
        <v>677</v>
      </c>
      <c r="B6985" t="s">
        <v>362</v>
      </c>
      <c r="C6985" s="2">
        <f>HYPERLINK("https://sao.dolgi.msk.ru/account/1404088971/", 1404088971)</f>
        <v>1404088971</v>
      </c>
      <c r="D6985">
        <v>-6206.27</v>
      </c>
    </row>
    <row r="6986" spans="1:4" x14ac:dyDescent="0.25">
      <c r="A6986" t="s">
        <v>677</v>
      </c>
      <c r="B6986" t="s">
        <v>363</v>
      </c>
      <c r="C6986" s="2">
        <f>HYPERLINK("https://sao.dolgi.msk.ru/account/1404086503/", 1404086503)</f>
        <v>1404086503</v>
      </c>
      <c r="D6986">
        <v>123180.62</v>
      </c>
    </row>
    <row r="6987" spans="1:4" hidden="1" x14ac:dyDescent="0.25">
      <c r="A6987" t="s">
        <v>677</v>
      </c>
      <c r="B6987" t="s">
        <v>364</v>
      </c>
      <c r="C6987" s="2">
        <f>HYPERLINK("https://sao.dolgi.msk.ru/account/1404082713/", 1404082713)</f>
        <v>1404082713</v>
      </c>
      <c r="D6987">
        <v>-610.1</v>
      </c>
    </row>
    <row r="6988" spans="1:4" hidden="1" x14ac:dyDescent="0.25">
      <c r="A6988" t="s">
        <v>677</v>
      </c>
      <c r="B6988" t="s">
        <v>365</v>
      </c>
      <c r="C6988" s="2">
        <f>HYPERLINK("https://sao.dolgi.msk.ru/account/1404085041/", 1404085041)</f>
        <v>1404085041</v>
      </c>
      <c r="D6988">
        <v>-7546.7</v>
      </c>
    </row>
    <row r="6989" spans="1:4" hidden="1" x14ac:dyDescent="0.25">
      <c r="A6989" t="s">
        <v>677</v>
      </c>
      <c r="B6989" t="s">
        <v>366</v>
      </c>
      <c r="C6989" s="2">
        <f>HYPERLINK("https://sao.dolgi.msk.ru/account/1404087426/", 1404087426)</f>
        <v>1404087426</v>
      </c>
      <c r="D6989">
        <v>-6691.65</v>
      </c>
    </row>
    <row r="6990" spans="1:4" hidden="1" x14ac:dyDescent="0.25">
      <c r="A6990" t="s">
        <v>677</v>
      </c>
      <c r="B6990" t="s">
        <v>367</v>
      </c>
      <c r="C6990" s="2">
        <f>HYPERLINK("https://sao.dolgi.msk.ru/account/1404083302/", 1404083302)</f>
        <v>1404083302</v>
      </c>
      <c r="D6990">
        <v>0</v>
      </c>
    </row>
    <row r="6991" spans="1:4" x14ac:dyDescent="0.25">
      <c r="A6991" t="s">
        <v>677</v>
      </c>
      <c r="B6991" t="s">
        <v>368</v>
      </c>
      <c r="C6991" s="2">
        <f>HYPERLINK("https://sao.dolgi.msk.ru/account/1404088808/", 1404088808)</f>
        <v>1404088808</v>
      </c>
      <c r="D6991">
        <v>6513.91</v>
      </c>
    </row>
    <row r="6992" spans="1:4" hidden="1" x14ac:dyDescent="0.25">
      <c r="A6992" t="s">
        <v>677</v>
      </c>
      <c r="B6992" t="s">
        <v>369</v>
      </c>
      <c r="C6992" s="2">
        <f>HYPERLINK("https://sao.dolgi.msk.ru/account/1404084137/", 1404084137)</f>
        <v>1404084137</v>
      </c>
      <c r="D6992">
        <v>-3285.1</v>
      </c>
    </row>
    <row r="6993" spans="1:4" hidden="1" x14ac:dyDescent="0.25">
      <c r="A6993" t="s">
        <v>677</v>
      </c>
      <c r="B6993" t="s">
        <v>370</v>
      </c>
      <c r="C6993" s="2">
        <f>HYPERLINK("https://sao.dolgi.msk.ru/account/1404088728/", 1404088728)</f>
        <v>1404088728</v>
      </c>
      <c r="D6993">
        <v>-7169.26</v>
      </c>
    </row>
    <row r="6994" spans="1:4" hidden="1" x14ac:dyDescent="0.25">
      <c r="A6994" t="s">
        <v>677</v>
      </c>
      <c r="B6994" t="s">
        <v>371</v>
      </c>
      <c r="C6994" s="2">
        <f>HYPERLINK("https://sao.dolgi.msk.ru/account/1404082908/", 1404082908)</f>
        <v>1404082908</v>
      </c>
      <c r="D6994">
        <v>-1220.2</v>
      </c>
    </row>
    <row r="6995" spans="1:4" hidden="1" x14ac:dyDescent="0.25">
      <c r="A6995" t="s">
        <v>677</v>
      </c>
      <c r="B6995" t="s">
        <v>372</v>
      </c>
      <c r="C6995" s="2">
        <f>HYPERLINK("https://sao.dolgi.msk.ru/account/1404083898/", 1404083898)</f>
        <v>1404083898</v>
      </c>
      <c r="D6995">
        <v>-4839.2299999999996</v>
      </c>
    </row>
    <row r="6996" spans="1:4" hidden="1" x14ac:dyDescent="0.25">
      <c r="A6996" t="s">
        <v>677</v>
      </c>
      <c r="B6996" t="s">
        <v>373</v>
      </c>
      <c r="C6996" s="2">
        <f>HYPERLINK("https://sao.dolgi.msk.ru/account/1404083695/", 1404083695)</f>
        <v>1404083695</v>
      </c>
      <c r="D6996">
        <v>-4729.32</v>
      </c>
    </row>
    <row r="6997" spans="1:4" hidden="1" x14ac:dyDescent="0.25">
      <c r="A6997" t="s">
        <v>677</v>
      </c>
      <c r="B6997" t="s">
        <v>374</v>
      </c>
      <c r="C6997" s="2">
        <f>HYPERLINK("https://sao.dolgi.msk.ru/account/1404082609/", 1404082609)</f>
        <v>1404082609</v>
      </c>
      <c r="D6997">
        <v>-4629.8500000000004</v>
      </c>
    </row>
    <row r="6998" spans="1:4" hidden="1" x14ac:dyDescent="0.25">
      <c r="A6998" t="s">
        <v>677</v>
      </c>
      <c r="B6998" t="s">
        <v>375</v>
      </c>
      <c r="C6998" s="2">
        <f>HYPERLINK("https://sao.dolgi.msk.ru/account/1404083396/", 1404083396)</f>
        <v>1404083396</v>
      </c>
      <c r="D6998">
        <v>-6579.58</v>
      </c>
    </row>
    <row r="6999" spans="1:4" x14ac:dyDescent="0.25">
      <c r="A6999" t="s">
        <v>677</v>
      </c>
      <c r="B6999" t="s">
        <v>376</v>
      </c>
      <c r="C6999" s="2">
        <f>HYPERLINK("https://sao.dolgi.msk.ru/account/1404083193/", 1404083193)</f>
        <v>1404083193</v>
      </c>
      <c r="D6999">
        <v>5077.82</v>
      </c>
    </row>
    <row r="7000" spans="1:4" hidden="1" x14ac:dyDescent="0.25">
      <c r="A7000" t="s">
        <v>677</v>
      </c>
      <c r="B7000" t="s">
        <v>377</v>
      </c>
      <c r="C7000" s="2">
        <f>HYPERLINK("https://sao.dolgi.msk.ru/account/1404082625/", 1404082625)</f>
        <v>1404082625</v>
      </c>
      <c r="D7000">
        <v>-6312.52</v>
      </c>
    </row>
    <row r="7001" spans="1:4" hidden="1" x14ac:dyDescent="0.25">
      <c r="A7001" t="s">
        <v>677</v>
      </c>
      <c r="B7001" t="s">
        <v>378</v>
      </c>
      <c r="C7001" s="2">
        <f>HYPERLINK("https://sao.dolgi.msk.ru/account/1404155548/", 1404155548)</f>
        <v>1404155548</v>
      </c>
      <c r="D7001">
        <v>-8629.9699999999993</v>
      </c>
    </row>
    <row r="7002" spans="1:4" hidden="1" x14ac:dyDescent="0.25">
      <c r="A7002" t="s">
        <v>677</v>
      </c>
      <c r="B7002" t="s">
        <v>379</v>
      </c>
      <c r="C7002" s="2">
        <f>HYPERLINK("https://sao.dolgi.msk.ru/account/1404089528/", 1404089528)</f>
        <v>1404089528</v>
      </c>
      <c r="D7002">
        <v>-4808.71</v>
      </c>
    </row>
    <row r="7003" spans="1:4" hidden="1" x14ac:dyDescent="0.25">
      <c r="A7003" t="s">
        <v>677</v>
      </c>
      <c r="B7003" t="s">
        <v>380</v>
      </c>
      <c r="C7003" s="2">
        <f>HYPERLINK("https://sao.dolgi.msk.ru/account/1404139417/", 1404139417)</f>
        <v>1404139417</v>
      </c>
      <c r="D7003">
        <v>-3803.62</v>
      </c>
    </row>
    <row r="7004" spans="1:4" hidden="1" x14ac:dyDescent="0.25">
      <c r="A7004" t="s">
        <v>677</v>
      </c>
      <c r="B7004" t="s">
        <v>381</v>
      </c>
      <c r="C7004" s="2">
        <f>HYPERLINK("https://sao.dolgi.msk.ru/account/1404085834/", 1404085834)</f>
        <v>1404085834</v>
      </c>
      <c r="D7004">
        <v>-5837.2</v>
      </c>
    </row>
    <row r="7005" spans="1:4" hidden="1" x14ac:dyDescent="0.25">
      <c r="A7005" t="s">
        <v>677</v>
      </c>
      <c r="B7005" t="s">
        <v>382</v>
      </c>
      <c r="C7005" s="2">
        <f>HYPERLINK("https://sao.dolgi.msk.ru/account/1404140266/", 1404140266)</f>
        <v>1404140266</v>
      </c>
      <c r="D7005">
        <v>-4463.78</v>
      </c>
    </row>
    <row r="7006" spans="1:4" hidden="1" x14ac:dyDescent="0.25">
      <c r="A7006" t="s">
        <v>677</v>
      </c>
      <c r="B7006" t="s">
        <v>383</v>
      </c>
      <c r="C7006" s="2">
        <f>HYPERLINK("https://sao.dolgi.msk.ru/account/1404082916/", 1404082916)</f>
        <v>1404082916</v>
      </c>
      <c r="D7006">
        <v>-71.98</v>
      </c>
    </row>
    <row r="7007" spans="1:4" hidden="1" x14ac:dyDescent="0.25">
      <c r="A7007" t="s">
        <v>677</v>
      </c>
      <c r="B7007" t="s">
        <v>384</v>
      </c>
      <c r="C7007" s="2">
        <f>HYPERLINK("https://sao.dolgi.msk.ru/account/1404084268/", 1404084268)</f>
        <v>1404084268</v>
      </c>
      <c r="D7007">
        <v>0</v>
      </c>
    </row>
    <row r="7008" spans="1:4" hidden="1" x14ac:dyDescent="0.25">
      <c r="A7008" t="s">
        <v>677</v>
      </c>
      <c r="B7008" t="s">
        <v>385</v>
      </c>
      <c r="C7008" s="2">
        <f>HYPERLINK("https://sao.dolgi.msk.ru/account/1404083214/", 1404083214)</f>
        <v>1404083214</v>
      </c>
      <c r="D7008">
        <v>0</v>
      </c>
    </row>
    <row r="7009" spans="1:4" hidden="1" x14ac:dyDescent="0.25">
      <c r="A7009" t="s">
        <v>677</v>
      </c>
      <c r="B7009" t="s">
        <v>386</v>
      </c>
      <c r="C7009" s="2">
        <f>HYPERLINK("https://sao.dolgi.msk.ru/account/1404090297/", 1404090297)</f>
        <v>1404090297</v>
      </c>
      <c r="D7009">
        <v>-11584.44</v>
      </c>
    </row>
    <row r="7010" spans="1:4" hidden="1" x14ac:dyDescent="0.25">
      <c r="A7010" t="s">
        <v>677</v>
      </c>
      <c r="B7010" t="s">
        <v>387</v>
      </c>
      <c r="C7010" s="2">
        <f>HYPERLINK("https://sao.dolgi.msk.ru/account/1404087872/", 1404087872)</f>
        <v>1404087872</v>
      </c>
      <c r="D7010">
        <v>-3555.71</v>
      </c>
    </row>
    <row r="7011" spans="1:4" hidden="1" x14ac:dyDescent="0.25">
      <c r="A7011" t="s">
        <v>677</v>
      </c>
      <c r="B7011" t="s">
        <v>388</v>
      </c>
      <c r="C7011" s="2">
        <f>HYPERLINK("https://sao.dolgi.msk.ru/account/1404082684/", 1404082684)</f>
        <v>1404082684</v>
      </c>
      <c r="D7011">
        <v>-6202.45</v>
      </c>
    </row>
    <row r="7012" spans="1:4" hidden="1" x14ac:dyDescent="0.25">
      <c r="A7012" t="s">
        <v>677</v>
      </c>
      <c r="B7012" t="s">
        <v>389</v>
      </c>
      <c r="C7012" s="2">
        <f>HYPERLINK("https://sao.dolgi.msk.ru/account/1404084663/", 1404084663)</f>
        <v>1404084663</v>
      </c>
      <c r="D7012">
        <v>0</v>
      </c>
    </row>
    <row r="7013" spans="1:4" hidden="1" x14ac:dyDescent="0.25">
      <c r="A7013" t="s">
        <v>677</v>
      </c>
      <c r="B7013" t="s">
        <v>390</v>
      </c>
      <c r="C7013" s="2">
        <f>HYPERLINK("https://sao.dolgi.msk.ru/account/1404088621/", 1404088621)</f>
        <v>1404088621</v>
      </c>
      <c r="D7013">
        <v>-9040.2999999999993</v>
      </c>
    </row>
    <row r="7014" spans="1:4" hidden="1" x14ac:dyDescent="0.25">
      <c r="A7014" t="s">
        <v>677</v>
      </c>
      <c r="B7014" t="s">
        <v>391</v>
      </c>
      <c r="C7014" s="2">
        <f>HYPERLINK("https://sao.dolgi.msk.ru/account/1404089608/", 1404089608)</f>
        <v>1404089608</v>
      </c>
      <c r="D7014">
        <v>-6105.13</v>
      </c>
    </row>
    <row r="7015" spans="1:4" hidden="1" x14ac:dyDescent="0.25">
      <c r="A7015" t="s">
        <v>677</v>
      </c>
      <c r="B7015" t="s">
        <v>392</v>
      </c>
      <c r="C7015" s="2">
        <f>HYPERLINK("https://sao.dolgi.msk.ru/account/1404083687/", 1404083687)</f>
        <v>1404083687</v>
      </c>
      <c r="D7015">
        <v>-4101.05</v>
      </c>
    </row>
    <row r="7016" spans="1:4" x14ac:dyDescent="0.25">
      <c r="A7016" t="s">
        <v>677</v>
      </c>
      <c r="B7016" t="s">
        <v>393</v>
      </c>
      <c r="C7016" s="2">
        <f>HYPERLINK("https://sao.dolgi.msk.ru/account/1404090158/", 1404090158)</f>
        <v>1404090158</v>
      </c>
      <c r="D7016">
        <v>29660.720000000001</v>
      </c>
    </row>
    <row r="7017" spans="1:4" hidden="1" x14ac:dyDescent="0.25">
      <c r="A7017" t="s">
        <v>677</v>
      </c>
      <c r="B7017" t="s">
        <v>394</v>
      </c>
      <c r="C7017" s="2">
        <f>HYPERLINK("https://sao.dolgi.msk.ru/account/1404083732/", 1404083732)</f>
        <v>1404083732</v>
      </c>
      <c r="D7017">
        <v>-3659.79</v>
      </c>
    </row>
    <row r="7018" spans="1:4" hidden="1" x14ac:dyDescent="0.25">
      <c r="A7018" t="s">
        <v>677</v>
      </c>
      <c r="B7018" t="s">
        <v>395</v>
      </c>
      <c r="C7018" s="2">
        <f>HYPERLINK("https://sao.dolgi.msk.ru/account/1404084444/", 1404084444)</f>
        <v>1404084444</v>
      </c>
      <c r="D7018">
        <v>-1526.61</v>
      </c>
    </row>
    <row r="7019" spans="1:4" hidden="1" x14ac:dyDescent="0.25">
      <c r="A7019" t="s">
        <v>677</v>
      </c>
      <c r="B7019" t="s">
        <v>395</v>
      </c>
      <c r="C7019" s="2">
        <f>HYPERLINK("https://sao.dolgi.msk.ru/account/1404090537/", 1404090537)</f>
        <v>1404090537</v>
      </c>
      <c r="D7019">
        <v>-3508.71</v>
      </c>
    </row>
    <row r="7020" spans="1:4" hidden="1" x14ac:dyDescent="0.25">
      <c r="A7020" t="s">
        <v>677</v>
      </c>
      <c r="B7020" t="s">
        <v>396</v>
      </c>
      <c r="C7020" s="2">
        <f>HYPERLINK("https://sao.dolgi.msk.ru/account/1404088381/", 1404088381)</f>
        <v>1404088381</v>
      </c>
      <c r="D7020">
        <v>0</v>
      </c>
    </row>
    <row r="7021" spans="1:4" hidden="1" x14ac:dyDescent="0.25">
      <c r="A7021" t="s">
        <v>677</v>
      </c>
      <c r="B7021" t="s">
        <v>397</v>
      </c>
      <c r="C7021" s="2">
        <f>HYPERLINK("https://sao.dolgi.msk.ru/account/1404082764/", 1404082764)</f>
        <v>1404082764</v>
      </c>
      <c r="D7021">
        <v>-5956.27</v>
      </c>
    </row>
    <row r="7022" spans="1:4" hidden="1" x14ac:dyDescent="0.25">
      <c r="A7022" t="s">
        <v>677</v>
      </c>
      <c r="B7022" t="s">
        <v>398</v>
      </c>
      <c r="C7022" s="2">
        <f>HYPERLINK("https://sao.dolgi.msk.ru/account/1404087522/", 1404087522)</f>
        <v>1404087522</v>
      </c>
      <c r="D7022">
        <v>-4201.29</v>
      </c>
    </row>
    <row r="7023" spans="1:4" x14ac:dyDescent="0.25">
      <c r="A7023" t="s">
        <v>677</v>
      </c>
      <c r="B7023" t="s">
        <v>399</v>
      </c>
      <c r="C7023" s="2">
        <f>HYPERLINK("https://sao.dolgi.msk.ru/account/1404084954/", 1404084954)</f>
        <v>1404084954</v>
      </c>
      <c r="D7023">
        <v>10630.66</v>
      </c>
    </row>
    <row r="7024" spans="1:4" hidden="1" x14ac:dyDescent="0.25">
      <c r="A7024" t="s">
        <v>677</v>
      </c>
      <c r="B7024" t="s">
        <v>400</v>
      </c>
      <c r="C7024" s="2">
        <f>HYPERLINK("https://sao.dolgi.msk.ru/account/1404100459/", 1404100459)</f>
        <v>1404100459</v>
      </c>
      <c r="D7024">
        <v>-4128.5200000000004</v>
      </c>
    </row>
    <row r="7025" spans="1:4" hidden="1" x14ac:dyDescent="0.25">
      <c r="A7025" t="s">
        <v>677</v>
      </c>
      <c r="B7025" t="s">
        <v>401</v>
      </c>
      <c r="C7025" s="2">
        <f>HYPERLINK("https://sao.dolgi.msk.ru/account/1404085738/", 1404085738)</f>
        <v>1404085738</v>
      </c>
      <c r="D7025">
        <v>-161.97</v>
      </c>
    </row>
    <row r="7026" spans="1:4" hidden="1" x14ac:dyDescent="0.25">
      <c r="A7026" t="s">
        <v>677</v>
      </c>
      <c r="B7026" t="s">
        <v>402</v>
      </c>
      <c r="C7026" s="2">
        <f>HYPERLINK("https://sao.dolgi.msk.ru/account/1404083716/", 1404083716)</f>
        <v>1404083716</v>
      </c>
      <c r="D7026">
        <v>0</v>
      </c>
    </row>
    <row r="7027" spans="1:4" x14ac:dyDescent="0.25">
      <c r="A7027" t="s">
        <v>677</v>
      </c>
      <c r="B7027" t="s">
        <v>403</v>
      </c>
      <c r="C7027" s="2">
        <f>HYPERLINK("https://sao.dolgi.msk.ru/account/1404084524/", 1404084524)</f>
        <v>1404084524</v>
      </c>
      <c r="D7027">
        <v>6020.96</v>
      </c>
    </row>
    <row r="7028" spans="1:4" hidden="1" x14ac:dyDescent="0.25">
      <c r="A7028" t="s">
        <v>677</v>
      </c>
      <c r="B7028" t="s">
        <v>404</v>
      </c>
      <c r="C7028" s="2">
        <f>HYPERLINK("https://sao.dolgi.msk.ru/account/1404085471/", 1404085471)</f>
        <v>1404085471</v>
      </c>
      <c r="D7028">
        <v>-3816.16</v>
      </c>
    </row>
    <row r="7029" spans="1:4" hidden="1" x14ac:dyDescent="0.25">
      <c r="A7029" t="s">
        <v>677</v>
      </c>
      <c r="B7029" t="s">
        <v>405</v>
      </c>
      <c r="C7029" s="2">
        <f>HYPERLINK("https://sao.dolgi.msk.ru/account/1404087303/", 1404087303)</f>
        <v>1404087303</v>
      </c>
      <c r="D7029">
        <v>-4571.3500000000004</v>
      </c>
    </row>
    <row r="7030" spans="1:4" hidden="1" x14ac:dyDescent="0.25">
      <c r="A7030" t="s">
        <v>677</v>
      </c>
      <c r="B7030" t="s">
        <v>406</v>
      </c>
      <c r="C7030" s="2">
        <f>HYPERLINK("https://sao.dolgi.msk.ru/account/1404087602/", 1404087602)</f>
        <v>1404087602</v>
      </c>
      <c r="D7030">
        <v>-6601.9</v>
      </c>
    </row>
    <row r="7031" spans="1:4" hidden="1" x14ac:dyDescent="0.25">
      <c r="A7031" t="s">
        <v>677</v>
      </c>
      <c r="B7031" t="s">
        <v>407</v>
      </c>
      <c r="C7031" s="2">
        <f>HYPERLINK("https://sao.dolgi.msk.ru/account/1404100467/", 1404100467)</f>
        <v>1404100467</v>
      </c>
      <c r="D7031">
        <v>0</v>
      </c>
    </row>
    <row r="7032" spans="1:4" hidden="1" x14ac:dyDescent="0.25">
      <c r="A7032" t="s">
        <v>677</v>
      </c>
      <c r="B7032" t="s">
        <v>407</v>
      </c>
      <c r="C7032" s="2">
        <f>HYPERLINK("https://sao.dolgi.msk.ru/account/1404149615/", 1404149615)</f>
        <v>1404149615</v>
      </c>
      <c r="D7032">
        <v>-4117.04</v>
      </c>
    </row>
    <row r="7033" spans="1:4" hidden="1" x14ac:dyDescent="0.25">
      <c r="A7033" t="s">
        <v>677</v>
      </c>
      <c r="B7033" t="s">
        <v>408</v>
      </c>
      <c r="C7033" s="2">
        <f>HYPERLINK("https://sao.dolgi.msk.ru/account/1404140207/", 1404140207)</f>
        <v>1404140207</v>
      </c>
      <c r="D7033">
        <v>0</v>
      </c>
    </row>
    <row r="7034" spans="1:4" x14ac:dyDescent="0.25">
      <c r="A7034" t="s">
        <v>677</v>
      </c>
      <c r="B7034" t="s">
        <v>409</v>
      </c>
      <c r="C7034" s="2">
        <f>HYPERLINK("https://sao.dolgi.msk.ru/account/1404090625/", 1404090625)</f>
        <v>1404090625</v>
      </c>
      <c r="D7034">
        <v>218042.69</v>
      </c>
    </row>
    <row r="7035" spans="1:4" hidden="1" x14ac:dyDescent="0.25">
      <c r="A7035" t="s">
        <v>677</v>
      </c>
      <c r="B7035" t="s">
        <v>409</v>
      </c>
      <c r="C7035" s="2">
        <f>HYPERLINK("https://sao.dolgi.msk.ru/account/1404098117/", 1404098117)</f>
        <v>1404098117</v>
      </c>
      <c r="D7035">
        <v>-1845.96</v>
      </c>
    </row>
    <row r="7036" spans="1:4" hidden="1" x14ac:dyDescent="0.25">
      <c r="A7036" t="s">
        <v>677</v>
      </c>
      <c r="B7036" t="s">
        <v>410</v>
      </c>
      <c r="C7036" s="2">
        <f>HYPERLINK("https://sao.dolgi.msk.ru/account/1404084305/", 1404084305)</f>
        <v>1404084305</v>
      </c>
      <c r="D7036">
        <v>-8341.09</v>
      </c>
    </row>
    <row r="7037" spans="1:4" hidden="1" x14ac:dyDescent="0.25">
      <c r="A7037" t="s">
        <v>677</v>
      </c>
      <c r="B7037" t="s">
        <v>411</v>
      </c>
      <c r="C7037" s="2">
        <f>HYPERLINK("https://sao.dolgi.msk.ru/account/1404082529/", 1404082529)</f>
        <v>1404082529</v>
      </c>
      <c r="D7037">
        <v>-4008.35</v>
      </c>
    </row>
    <row r="7038" spans="1:4" hidden="1" x14ac:dyDescent="0.25">
      <c r="A7038" t="s">
        <v>677</v>
      </c>
      <c r="B7038" t="s">
        <v>429</v>
      </c>
      <c r="C7038" s="2">
        <f>HYPERLINK("https://sao.dolgi.msk.ru/account/1404083038/", 1404083038)</f>
        <v>1404083038</v>
      </c>
      <c r="D7038">
        <v>-4871.08</v>
      </c>
    </row>
    <row r="7039" spans="1:4" hidden="1" x14ac:dyDescent="0.25">
      <c r="A7039" t="s">
        <v>677</v>
      </c>
      <c r="B7039" t="s">
        <v>430</v>
      </c>
      <c r="C7039" s="2">
        <f>HYPERLINK("https://sao.dolgi.msk.ru/account/1404086634/", 1404086634)</f>
        <v>1404086634</v>
      </c>
      <c r="D7039">
        <v>0</v>
      </c>
    </row>
    <row r="7040" spans="1:4" hidden="1" x14ac:dyDescent="0.25">
      <c r="A7040" t="s">
        <v>677</v>
      </c>
      <c r="B7040" t="s">
        <v>431</v>
      </c>
      <c r="C7040" s="2">
        <f>HYPERLINK("https://sao.dolgi.msk.ru/account/1404087581/", 1404087581)</f>
        <v>1404087581</v>
      </c>
      <c r="D7040">
        <v>-1298.26</v>
      </c>
    </row>
    <row r="7041" spans="1:4" hidden="1" x14ac:dyDescent="0.25">
      <c r="A7041" t="s">
        <v>677</v>
      </c>
      <c r="B7041" t="s">
        <v>432</v>
      </c>
      <c r="C7041" s="2">
        <f>HYPERLINK("https://sao.dolgi.msk.ru/account/1404088373/", 1404088373)</f>
        <v>1404088373</v>
      </c>
      <c r="D7041">
        <v>-5028.03</v>
      </c>
    </row>
    <row r="7042" spans="1:4" hidden="1" x14ac:dyDescent="0.25">
      <c r="A7042" t="s">
        <v>677</v>
      </c>
      <c r="B7042" t="s">
        <v>433</v>
      </c>
      <c r="C7042" s="2">
        <f>HYPERLINK("https://sao.dolgi.msk.ru/account/1404086095/", 1404086095)</f>
        <v>1404086095</v>
      </c>
      <c r="D7042">
        <v>-7202.83</v>
      </c>
    </row>
    <row r="7043" spans="1:4" hidden="1" x14ac:dyDescent="0.25">
      <c r="A7043" t="s">
        <v>677</v>
      </c>
      <c r="B7043" t="s">
        <v>434</v>
      </c>
      <c r="C7043" s="2">
        <f>HYPERLINK("https://sao.dolgi.msk.ru/account/1404082588/", 1404082588)</f>
        <v>1404082588</v>
      </c>
      <c r="D7043">
        <v>-15058.03</v>
      </c>
    </row>
    <row r="7044" spans="1:4" hidden="1" x14ac:dyDescent="0.25">
      <c r="A7044" t="s">
        <v>677</v>
      </c>
      <c r="B7044" t="s">
        <v>435</v>
      </c>
      <c r="C7044" s="2">
        <f>HYPERLINK("https://sao.dolgi.msk.ru/account/1404082596/", 1404082596)</f>
        <v>1404082596</v>
      </c>
      <c r="D7044">
        <v>-1617.5</v>
      </c>
    </row>
    <row r="7045" spans="1:4" hidden="1" x14ac:dyDescent="0.25">
      <c r="A7045" t="s">
        <v>677</v>
      </c>
      <c r="B7045" t="s">
        <v>436</v>
      </c>
      <c r="C7045" s="2">
        <f>HYPERLINK("https://sao.dolgi.msk.ru/account/1404084196/", 1404084196)</f>
        <v>1404084196</v>
      </c>
      <c r="D7045">
        <v>-5680.7</v>
      </c>
    </row>
    <row r="7046" spans="1:4" hidden="1" x14ac:dyDescent="0.25">
      <c r="A7046" t="s">
        <v>677</v>
      </c>
      <c r="B7046" t="s">
        <v>437</v>
      </c>
      <c r="C7046" s="2">
        <f>HYPERLINK("https://sao.dolgi.msk.ru/account/1404085228/", 1404085228)</f>
        <v>1404085228</v>
      </c>
      <c r="D7046">
        <v>0</v>
      </c>
    </row>
    <row r="7047" spans="1:4" hidden="1" x14ac:dyDescent="0.25">
      <c r="A7047" t="s">
        <v>677</v>
      </c>
      <c r="B7047" t="s">
        <v>438</v>
      </c>
      <c r="C7047" s="2">
        <f>HYPERLINK("https://sao.dolgi.msk.ru/account/1404082457/", 1404082457)</f>
        <v>1404082457</v>
      </c>
      <c r="D7047">
        <v>-6426.63</v>
      </c>
    </row>
    <row r="7048" spans="1:4" hidden="1" x14ac:dyDescent="0.25">
      <c r="A7048" t="s">
        <v>677</v>
      </c>
      <c r="B7048" t="s">
        <v>439</v>
      </c>
      <c r="C7048" s="2">
        <f>HYPERLINK("https://sao.dolgi.msk.ru/account/1404086116/", 1404086116)</f>
        <v>1404086116</v>
      </c>
      <c r="D7048">
        <v>0</v>
      </c>
    </row>
    <row r="7049" spans="1:4" hidden="1" x14ac:dyDescent="0.25">
      <c r="A7049" t="s">
        <v>677</v>
      </c>
      <c r="B7049" t="s">
        <v>440</v>
      </c>
      <c r="C7049" s="2">
        <f>HYPERLINK("https://sao.dolgi.msk.ru/account/1404082772/", 1404082772)</f>
        <v>1404082772</v>
      </c>
      <c r="D7049">
        <v>-12177.9</v>
      </c>
    </row>
    <row r="7050" spans="1:4" x14ac:dyDescent="0.25">
      <c r="A7050" t="s">
        <v>677</v>
      </c>
      <c r="B7050" t="s">
        <v>441</v>
      </c>
      <c r="C7050" s="2">
        <f>HYPERLINK("https://sao.dolgi.msk.ru/account/1404082967/", 1404082967)</f>
        <v>1404082967</v>
      </c>
      <c r="D7050">
        <v>12612.24</v>
      </c>
    </row>
    <row r="7051" spans="1:4" hidden="1" x14ac:dyDescent="0.25">
      <c r="A7051" t="s">
        <v>677</v>
      </c>
      <c r="B7051" t="s">
        <v>442</v>
      </c>
      <c r="C7051" s="2">
        <f>HYPERLINK("https://sao.dolgi.msk.ru/account/1404083273/", 1404083273)</f>
        <v>1404083273</v>
      </c>
      <c r="D7051">
        <v>-71.98</v>
      </c>
    </row>
    <row r="7052" spans="1:4" hidden="1" x14ac:dyDescent="0.25">
      <c r="A7052" t="s">
        <v>677</v>
      </c>
      <c r="B7052" t="s">
        <v>443</v>
      </c>
      <c r="C7052" s="2">
        <f>HYPERLINK("https://sao.dolgi.msk.ru/account/1404085367/", 1404085367)</f>
        <v>1404085367</v>
      </c>
      <c r="D7052">
        <v>-25.47</v>
      </c>
    </row>
    <row r="7053" spans="1:4" hidden="1" x14ac:dyDescent="0.25">
      <c r="A7053" t="s">
        <v>677</v>
      </c>
      <c r="B7053" t="s">
        <v>444</v>
      </c>
      <c r="C7053" s="2">
        <f>HYPERLINK("https://sao.dolgi.msk.ru/account/1404083951/", 1404083951)</f>
        <v>1404083951</v>
      </c>
      <c r="D7053">
        <v>-5174.6400000000003</v>
      </c>
    </row>
    <row r="7054" spans="1:4" hidden="1" x14ac:dyDescent="0.25">
      <c r="A7054" t="s">
        <v>677</v>
      </c>
      <c r="B7054" t="s">
        <v>445</v>
      </c>
      <c r="C7054" s="2">
        <f>HYPERLINK("https://sao.dolgi.msk.ru/account/1404086589/", 1404086589)</f>
        <v>1404086589</v>
      </c>
      <c r="D7054">
        <v>-5634.02</v>
      </c>
    </row>
    <row r="7055" spans="1:4" x14ac:dyDescent="0.25">
      <c r="A7055" t="s">
        <v>678</v>
      </c>
      <c r="B7055" t="s">
        <v>5</v>
      </c>
      <c r="C7055" s="2">
        <f>HYPERLINK("https://sao.dolgi.msk.ru/account/1404259785/", 1404259785)</f>
        <v>1404259785</v>
      </c>
      <c r="D7055">
        <v>3521.96</v>
      </c>
    </row>
    <row r="7056" spans="1:4" hidden="1" x14ac:dyDescent="0.25">
      <c r="A7056" t="s">
        <v>678</v>
      </c>
      <c r="B7056" t="s">
        <v>6</v>
      </c>
      <c r="C7056" s="2">
        <f>HYPERLINK("https://sao.dolgi.msk.ru/account/1404259662/", 1404259662)</f>
        <v>1404259662</v>
      </c>
      <c r="D7056">
        <v>-5144.37</v>
      </c>
    </row>
    <row r="7057" spans="1:4" hidden="1" x14ac:dyDescent="0.25">
      <c r="A7057" t="s">
        <v>678</v>
      </c>
      <c r="B7057" t="s">
        <v>7</v>
      </c>
      <c r="C7057" s="2">
        <f>HYPERLINK("https://sao.dolgi.msk.ru/account/1404260241/", 1404260241)</f>
        <v>1404260241</v>
      </c>
      <c r="D7057">
        <v>-3356.6</v>
      </c>
    </row>
    <row r="7058" spans="1:4" x14ac:dyDescent="0.25">
      <c r="A7058" t="s">
        <v>678</v>
      </c>
      <c r="B7058" t="s">
        <v>8</v>
      </c>
      <c r="C7058" s="2">
        <f>HYPERLINK("https://sao.dolgi.msk.ru/account/1404258715/", 1404258715)</f>
        <v>1404258715</v>
      </c>
      <c r="D7058">
        <v>13867.88</v>
      </c>
    </row>
    <row r="7059" spans="1:4" hidden="1" x14ac:dyDescent="0.25">
      <c r="A7059" t="s">
        <v>678</v>
      </c>
      <c r="B7059" t="s">
        <v>9</v>
      </c>
      <c r="C7059" s="2">
        <f>HYPERLINK("https://sao.dolgi.msk.ru/account/1404258993/", 1404258993)</f>
        <v>1404258993</v>
      </c>
      <c r="D7059">
        <v>-5528.02</v>
      </c>
    </row>
    <row r="7060" spans="1:4" hidden="1" x14ac:dyDescent="0.25">
      <c r="A7060" t="s">
        <v>678</v>
      </c>
      <c r="B7060" t="s">
        <v>10</v>
      </c>
      <c r="C7060" s="2">
        <f>HYPERLINK("https://sao.dolgi.msk.ru/account/1404259873/", 1404259873)</f>
        <v>1404259873</v>
      </c>
      <c r="D7060">
        <v>-3554.32</v>
      </c>
    </row>
    <row r="7061" spans="1:4" x14ac:dyDescent="0.25">
      <c r="A7061" t="s">
        <v>678</v>
      </c>
      <c r="B7061" t="s">
        <v>11</v>
      </c>
      <c r="C7061" s="2">
        <f>HYPERLINK("https://sao.dolgi.msk.ru/account/1404260161/", 1404260161)</f>
        <v>1404260161</v>
      </c>
      <c r="D7061">
        <v>67504.399999999994</v>
      </c>
    </row>
    <row r="7062" spans="1:4" hidden="1" x14ac:dyDescent="0.25">
      <c r="A7062" t="s">
        <v>678</v>
      </c>
      <c r="B7062" t="s">
        <v>12</v>
      </c>
      <c r="C7062" s="2">
        <f>HYPERLINK("https://sao.dolgi.msk.ru/account/1404259427/", 1404259427)</f>
        <v>1404259427</v>
      </c>
      <c r="D7062">
        <v>-7588.36</v>
      </c>
    </row>
    <row r="7063" spans="1:4" hidden="1" x14ac:dyDescent="0.25">
      <c r="A7063" t="s">
        <v>678</v>
      </c>
      <c r="B7063" t="s">
        <v>13</v>
      </c>
      <c r="C7063" s="2">
        <f>HYPERLINK("https://sao.dolgi.msk.ru/account/1404258504/", 1404258504)</f>
        <v>1404258504</v>
      </c>
      <c r="D7063">
        <v>-5888.44</v>
      </c>
    </row>
    <row r="7064" spans="1:4" hidden="1" x14ac:dyDescent="0.25">
      <c r="A7064" t="s">
        <v>678</v>
      </c>
      <c r="B7064" t="s">
        <v>14</v>
      </c>
      <c r="C7064" s="2">
        <f>HYPERLINK("https://sao.dolgi.msk.ru/account/1404259793/", 1404259793)</f>
        <v>1404259793</v>
      </c>
      <c r="D7064">
        <v>0</v>
      </c>
    </row>
    <row r="7065" spans="1:4" hidden="1" x14ac:dyDescent="0.25">
      <c r="A7065" t="s">
        <v>678</v>
      </c>
      <c r="B7065" t="s">
        <v>15</v>
      </c>
      <c r="C7065" s="2">
        <f>HYPERLINK("https://sao.dolgi.msk.ru/account/1404258942/", 1404258942)</f>
        <v>1404258942</v>
      </c>
      <c r="D7065">
        <v>-3512.17</v>
      </c>
    </row>
    <row r="7066" spans="1:4" hidden="1" x14ac:dyDescent="0.25">
      <c r="A7066" t="s">
        <v>678</v>
      </c>
      <c r="B7066" t="s">
        <v>16</v>
      </c>
      <c r="C7066" s="2">
        <f>HYPERLINK("https://sao.dolgi.msk.ru/account/1404259654/", 1404259654)</f>
        <v>1404259654</v>
      </c>
      <c r="D7066">
        <v>0</v>
      </c>
    </row>
    <row r="7067" spans="1:4" hidden="1" x14ac:dyDescent="0.25">
      <c r="A7067" t="s">
        <v>678</v>
      </c>
      <c r="B7067" t="s">
        <v>17</v>
      </c>
      <c r="C7067" s="2">
        <f>HYPERLINK("https://sao.dolgi.msk.ru/account/1404258184/", 1404258184)</f>
        <v>1404258184</v>
      </c>
      <c r="D7067">
        <v>-6114.62</v>
      </c>
    </row>
    <row r="7068" spans="1:4" hidden="1" x14ac:dyDescent="0.25">
      <c r="A7068" t="s">
        <v>678</v>
      </c>
      <c r="B7068" t="s">
        <v>18</v>
      </c>
      <c r="C7068" s="2">
        <f>HYPERLINK("https://sao.dolgi.msk.ru/account/1404259777/", 1404259777)</f>
        <v>1404259777</v>
      </c>
      <c r="D7068">
        <v>-5388.38</v>
      </c>
    </row>
    <row r="7069" spans="1:4" x14ac:dyDescent="0.25">
      <c r="A7069" t="s">
        <v>678</v>
      </c>
      <c r="B7069" t="s">
        <v>19</v>
      </c>
      <c r="C7069" s="2">
        <f>HYPERLINK("https://sao.dolgi.msk.ru/account/1404259515/", 1404259515)</f>
        <v>1404259515</v>
      </c>
      <c r="D7069">
        <v>6093.08</v>
      </c>
    </row>
    <row r="7070" spans="1:4" hidden="1" x14ac:dyDescent="0.25">
      <c r="A7070" t="s">
        <v>678</v>
      </c>
      <c r="B7070" t="s">
        <v>20</v>
      </c>
      <c r="C7070" s="2">
        <f>HYPERLINK("https://sao.dolgi.msk.ru/account/1404258168/", 1404258168)</f>
        <v>1404258168</v>
      </c>
      <c r="D7070">
        <v>0</v>
      </c>
    </row>
    <row r="7071" spans="1:4" hidden="1" x14ac:dyDescent="0.25">
      <c r="A7071" t="s">
        <v>678</v>
      </c>
      <c r="B7071" t="s">
        <v>21</v>
      </c>
      <c r="C7071" s="2">
        <f>HYPERLINK("https://sao.dolgi.msk.ru/account/1404259881/", 1404259881)</f>
        <v>1404259881</v>
      </c>
      <c r="D7071">
        <v>-3636.33</v>
      </c>
    </row>
    <row r="7072" spans="1:4" hidden="1" x14ac:dyDescent="0.25">
      <c r="A7072" t="s">
        <v>678</v>
      </c>
      <c r="B7072" t="s">
        <v>22</v>
      </c>
      <c r="C7072" s="2">
        <f>HYPERLINK("https://sao.dolgi.msk.ru/account/1404258344/", 1404258344)</f>
        <v>1404258344</v>
      </c>
      <c r="D7072">
        <v>-10544.14</v>
      </c>
    </row>
    <row r="7073" spans="1:4" hidden="1" x14ac:dyDescent="0.25">
      <c r="A7073" t="s">
        <v>678</v>
      </c>
      <c r="B7073" t="s">
        <v>23</v>
      </c>
      <c r="C7073" s="2">
        <f>HYPERLINK("https://sao.dolgi.msk.ru/account/1404258547/", 1404258547)</f>
        <v>1404258547</v>
      </c>
      <c r="D7073">
        <v>-1551.46</v>
      </c>
    </row>
    <row r="7074" spans="1:4" hidden="1" x14ac:dyDescent="0.25">
      <c r="A7074" t="s">
        <v>678</v>
      </c>
      <c r="B7074" t="s">
        <v>24</v>
      </c>
      <c r="C7074" s="2">
        <f>HYPERLINK("https://sao.dolgi.msk.ru/account/1404259312/", 1404259312)</f>
        <v>1404259312</v>
      </c>
      <c r="D7074">
        <v>-3959.69</v>
      </c>
    </row>
    <row r="7075" spans="1:4" x14ac:dyDescent="0.25">
      <c r="A7075" t="s">
        <v>678</v>
      </c>
      <c r="B7075" t="s">
        <v>25</v>
      </c>
      <c r="C7075" s="2">
        <f>HYPERLINK("https://sao.dolgi.msk.ru/account/1404259099/", 1404259099)</f>
        <v>1404259099</v>
      </c>
      <c r="D7075">
        <v>10832.5</v>
      </c>
    </row>
    <row r="7076" spans="1:4" hidden="1" x14ac:dyDescent="0.25">
      <c r="A7076" t="s">
        <v>678</v>
      </c>
      <c r="B7076" t="s">
        <v>26</v>
      </c>
      <c r="C7076" s="2">
        <f>HYPERLINK("https://sao.dolgi.msk.ru/account/1404259339/", 1404259339)</f>
        <v>1404259339</v>
      </c>
      <c r="D7076">
        <v>-6667.91</v>
      </c>
    </row>
    <row r="7077" spans="1:4" hidden="1" x14ac:dyDescent="0.25">
      <c r="A7077" t="s">
        <v>678</v>
      </c>
      <c r="B7077" t="s">
        <v>27</v>
      </c>
      <c r="C7077" s="2">
        <f>HYPERLINK("https://sao.dolgi.msk.ru/account/1404258176/", 1404258176)</f>
        <v>1404258176</v>
      </c>
      <c r="D7077">
        <v>-2105.85</v>
      </c>
    </row>
    <row r="7078" spans="1:4" hidden="1" x14ac:dyDescent="0.25">
      <c r="A7078" t="s">
        <v>678</v>
      </c>
      <c r="B7078" t="s">
        <v>28</v>
      </c>
      <c r="C7078" s="2">
        <f>HYPERLINK("https://sao.dolgi.msk.ru/account/1404258678/", 1404258678)</f>
        <v>1404258678</v>
      </c>
      <c r="D7078">
        <v>0</v>
      </c>
    </row>
    <row r="7079" spans="1:4" hidden="1" x14ac:dyDescent="0.25">
      <c r="A7079" t="s">
        <v>678</v>
      </c>
      <c r="B7079" t="s">
        <v>29</v>
      </c>
      <c r="C7079" s="2">
        <f>HYPERLINK("https://sao.dolgi.msk.ru/account/1404259902/", 1404259902)</f>
        <v>1404259902</v>
      </c>
      <c r="D7079">
        <v>-9350.98</v>
      </c>
    </row>
    <row r="7080" spans="1:4" hidden="1" x14ac:dyDescent="0.25">
      <c r="A7080" t="s">
        <v>678</v>
      </c>
      <c r="B7080" t="s">
        <v>30</v>
      </c>
      <c r="C7080" s="2">
        <f>HYPERLINK("https://sao.dolgi.msk.ru/account/1404259689/", 1404259689)</f>
        <v>1404259689</v>
      </c>
      <c r="D7080">
        <v>-4470.03</v>
      </c>
    </row>
    <row r="7081" spans="1:4" x14ac:dyDescent="0.25">
      <c r="A7081" t="s">
        <v>678</v>
      </c>
      <c r="B7081" t="s">
        <v>31</v>
      </c>
      <c r="C7081" s="2">
        <f>HYPERLINK("https://sao.dolgi.msk.ru/account/1404259101/", 1404259101)</f>
        <v>1404259101</v>
      </c>
      <c r="D7081">
        <v>1026.0999999999999</v>
      </c>
    </row>
    <row r="7082" spans="1:4" hidden="1" x14ac:dyDescent="0.25">
      <c r="A7082" t="s">
        <v>678</v>
      </c>
      <c r="B7082" t="s">
        <v>32</v>
      </c>
      <c r="C7082" s="2">
        <f>HYPERLINK("https://sao.dolgi.msk.ru/account/1404258811/", 1404258811)</f>
        <v>1404258811</v>
      </c>
      <c r="D7082">
        <v>-6979.38</v>
      </c>
    </row>
    <row r="7083" spans="1:4" hidden="1" x14ac:dyDescent="0.25">
      <c r="A7083" t="s">
        <v>678</v>
      </c>
      <c r="B7083" t="s">
        <v>33</v>
      </c>
      <c r="C7083" s="2">
        <f>HYPERLINK("https://sao.dolgi.msk.ru/account/1404258838/", 1404258838)</f>
        <v>1404258838</v>
      </c>
      <c r="D7083">
        <v>0</v>
      </c>
    </row>
    <row r="7084" spans="1:4" hidden="1" x14ac:dyDescent="0.25">
      <c r="A7084" t="s">
        <v>678</v>
      </c>
      <c r="B7084" t="s">
        <v>34</v>
      </c>
      <c r="C7084" s="2">
        <f>HYPERLINK("https://sao.dolgi.msk.ru/account/1404258846/", 1404258846)</f>
        <v>1404258846</v>
      </c>
      <c r="D7084">
        <v>-8255.6200000000008</v>
      </c>
    </row>
    <row r="7085" spans="1:4" hidden="1" x14ac:dyDescent="0.25">
      <c r="A7085" t="s">
        <v>678</v>
      </c>
      <c r="B7085" t="s">
        <v>35</v>
      </c>
      <c r="C7085" s="2">
        <f>HYPERLINK("https://sao.dolgi.msk.ru/account/1404259929/", 1404259929)</f>
        <v>1404259929</v>
      </c>
      <c r="D7085">
        <v>-5246.8</v>
      </c>
    </row>
    <row r="7086" spans="1:4" hidden="1" x14ac:dyDescent="0.25">
      <c r="A7086" t="s">
        <v>678</v>
      </c>
      <c r="B7086" t="s">
        <v>36</v>
      </c>
      <c r="C7086" s="2">
        <f>HYPERLINK("https://sao.dolgi.msk.ru/account/1404258432/", 1404258432)</f>
        <v>1404258432</v>
      </c>
      <c r="D7086">
        <v>0</v>
      </c>
    </row>
    <row r="7087" spans="1:4" hidden="1" x14ac:dyDescent="0.25">
      <c r="A7087" t="s">
        <v>678</v>
      </c>
      <c r="B7087" t="s">
        <v>37</v>
      </c>
      <c r="C7087" s="2">
        <f>HYPERLINK("https://sao.dolgi.msk.ru/account/1404259128/", 1404259128)</f>
        <v>1404259128</v>
      </c>
      <c r="D7087">
        <v>-9567.27</v>
      </c>
    </row>
    <row r="7088" spans="1:4" x14ac:dyDescent="0.25">
      <c r="A7088" t="s">
        <v>678</v>
      </c>
      <c r="B7088" t="s">
        <v>38</v>
      </c>
      <c r="C7088" s="2">
        <f>HYPERLINK("https://sao.dolgi.msk.ru/account/1404259224/", 1404259224)</f>
        <v>1404259224</v>
      </c>
      <c r="D7088">
        <v>15161.17</v>
      </c>
    </row>
    <row r="7089" spans="1:4" hidden="1" x14ac:dyDescent="0.25">
      <c r="A7089" t="s">
        <v>678</v>
      </c>
      <c r="B7089" t="s">
        <v>39</v>
      </c>
      <c r="C7089" s="2">
        <f>HYPERLINK("https://sao.dolgi.msk.ru/account/1404258766/", 1404258766)</f>
        <v>1404258766</v>
      </c>
      <c r="D7089">
        <v>-7174.72</v>
      </c>
    </row>
    <row r="7090" spans="1:4" hidden="1" x14ac:dyDescent="0.25">
      <c r="A7090" t="s">
        <v>678</v>
      </c>
      <c r="B7090" t="s">
        <v>40</v>
      </c>
      <c r="C7090" s="2">
        <f>HYPERLINK("https://sao.dolgi.msk.ru/account/1404258774/", 1404258774)</f>
        <v>1404258774</v>
      </c>
      <c r="D7090">
        <v>-9222.7900000000009</v>
      </c>
    </row>
    <row r="7091" spans="1:4" hidden="1" x14ac:dyDescent="0.25">
      <c r="A7091" t="s">
        <v>678</v>
      </c>
      <c r="B7091" t="s">
        <v>41</v>
      </c>
      <c r="C7091" s="2">
        <f>HYPERLINK("https://sao.dolgi.msk.ru/account/1404258379/", 1404258379)</f>
        <v>1404258379</v>
      </c>
      <c r="D7091">
        <v>-5689.8</v>
      </c>
    </row>
    <row r="7092" spans="1:4" hidden="1" x14ac:dyDescent="0.25">
      <c r="A7092" t="s">
        <v>678</v>
      </c>
      <c r="B7092" t="s">
        <v>42</v>
      </c>
      <c r="C7092" s="2">
        <f>HYPERLINK("https://sao.dolgi.msk.ru/account/1404259267/", 1404259267)</f>
        <v>1404259267</v>
      </c>
      <c r="D7092">
        <v>0</v>
      </c>
    </row>
    <row r="7093" spans="1:4" hidden="1" x14ac:dyDescent="0.25">
      <c r="A7093" t="s">
        <v>678</v>
      </c>
      <c r="B7093" t="s">
        <v>43</v>
      </c>
      <c r="C7093" s="2">
        <f>HYPERLINK("https://sao.dolgi.msk.ru/account/1404260209/", 1404260209)</f>
        <v>1404260209</v>
      </c>
      <c r="D7093">
        <v>-3480.98</v>
      </c>
    </row>
    <row r="7094" spans="1:4" x14ac:dyDescent="0.25">
      <c r="A7094" t="s">
        <v>678</v>
      </c>
      <c r="B7094" t="s">
        <v>44</v>
      </c>
      <c r="C7094" s="2">
        <f>HYPERLINK("https://sao.dolgi.msk.ru/account/1404260217/", 1404260217)</f>
        <v>1404260217</v>
      </c>
      <c r="D7094">
        <v>1978.82</v>
      </c>
    </row>
    <row r="7095" spans="1:4" x14ac:dyDescent="0.25">
      <c r="A7095" t="s">
        <v>678</v>
      </c>
      <c r="B7095" t="s">
        <v>45</v>
      </c>
      <c r="C7095" s="2">
        <f>HYPERLINK("https://sao.dolgi.msk.ru/account/1404259275/", 1404259275)</f>
        <v>1404259275</v>
      </c>
      <c r="D7095">
        <v>5398.56</v>
      </c>
    </row>
    <row r="7096" spans="1:4" hidden="1" x14ac:dyDescent="0.25">
      <c r="A7096" t="s">
        <v>678</v>
      </c>
      <c r="B7096" t="s">
        <v>46</v>
      </c>
      <c r="C7096" s="2">
        <f>HYPERLINK("https://sao.dolgi.msk.ru/account/1404259056/", 1404259056)</f>
        <v>1404259056</v>
      </c>
      <c r="D7096">
        <v>-4237.75</v>
      </c>
    </row>
    <row r="7097" spans="1:4" x14ac:dyDescent="0.25">
      <c r="A7097" t="s">
        <v>678</v>
      </c>
      <c r="B7097" t="s">
        <v>47</v>
      </c>
      <c r="C7097" s="2">
        <f>HYPERLINK("https://sao.dolgi.msk.ru/account/1404258133/", 1404258133)</f>
        <v>1404258133</v>
      </c>
      <c r="D7097">
        <v>32164.92</v>
      </c>
    </row>
    <row r="7098" spans="1:4" hidden="1" x14ac:dyDescent="0.25">
      <c r="A7098" t="s">
        <v>678</v>
      </c>
      <c r="B7098" t="s">
        <v>48</v>
      </c>
      <c r="C7098" s="2">
        <f>HYPERLINK("https://sao.dolgi.msk.ru/account/1404259646/", 1404259646)</f>
        <v>1404259646</v>
      </c>
      <c r="D7098">
        <v>-5658.35</v>
      </c>
    </row>
    <row r="7099" spans="1:4" hidden="1" x14ac:dyDescent="0.25">
      <c r="A7099" t="s">
        <v>678</v>
      </c>
      <c r="B7099" t="s">
        <v>49</v>
      </c>
      <c r="C7099" s="2">
        <f>HYPERLINK("https://sao.dolgi.msk.ru/account/1404258117/", 1404258117)</f>
        <v>1404258117</v>
      </c>
      <c r="D7099">
        <v>0</v>
      </c>
    </row>
    <row r="7100" spans="1:4" hidden="1" x14ac:dyDescent="0.25">
      <c r="A7100" t="s">
        <v>678</v>
      </c>
      <c r="B7100" t="s">
        <v>49</v>
      </c>
      <c r="C7100" s="2">
        <f>HYPERLINK("https://sao.dolgi.msk.ru/account/1404259013/", 1404259013)</f>
        <v>1404259013</v>
      </c>
      <c r="D7100">
        <v>0</v>
      </c>
    </row>
    <row r="7101" spans="1:4" hidden="1" x14ac:dyDescent="0.25">
      <c r="A7101" t="s">
        <v>678</v>
      </c>
      <c r="B7101" t="s">
        <v>50</v>
      </c>
      <c r="C7101" s="2">
        <f>HYPERLINK("https://sao.dolgi.msk.ru/account/1404258125/", 1404258125)</f>
        <v>1404258125</v>
      </c>
      <c r="D7101">
        <v>0</v>
      </c>
    </row>
    <row r="7102" spans="1:4" x14ac:dyDescent="0.25">
      <c r="A7102" t="s">
        <v>678</v>
      </c>
      <c r="B7102" t="s">
        <v>51</v>
      </c>
      <c r="C7102" s="2">
        <f>HYPERLINK("https://sao.dolgi.msk.ru/account/1404259822/", 1404259822)</f>
        <v>1404259822</v>
      </c>
      <c r="D7102">
        <v>25292.7</v>
      </c>
    </row>
    <row r="7103" spans="1:4" hidden="1" x14ac:dyDescent="0.25">
      <c r="A7103" t="s">
        <v>678</v>
      </c>
      <c r="B7103" t="s">
        <v>52</v>
      </c>
      <c r="C7103" s="2">
        <f>HYPERLINK("https://sao.dolgi.msk.ru/account/1404260006/", 1404260006)</f>
        <v>1404260006</v>
      </c>
      <c r="D7103">
        <v>-7464.98</v>
      </c>
    </row>
    <row r="7104" spans="1:4" hidden="1" x14ac:dyDescent="0.25">
      <c r="A7104" t="s">
        <v>678</v>
      </c>
      <c r="B7104" t="s">
        <v>53</v>
      </c>
      <c r="C7104" s="2">
        <f>HYPERLINK("https://sao.dolgi.msk.ru/account/1404259603/", 1404259603)</f>
        <v>1404259603</v>
      </c>
      <c r="D7104">
        <v>-8522.4500000000007</v>
      </c>
    </row>
    <row r="7105" spans="1:4" hidden="1" x14ac:dyDescent="0.25">
      <c r="A7105" t="s">
        <v>678</v>
      </c>
      <c r="B7105" t="s">
        <v>54</v>
      </c>
      <c r="C7105" s="2">
        <f>HYPERLINK("https://sao.dolgi.msk.ru/account/1404259494/", 1404259494)</f>
        <v>1404259494</v>
      </c>
      <c r="D7105">
        <v>0</v>
      </c>
    </row>
    <row r="7106" spans="1:4" x14ac:dyDescent="0.25">
      <c r="A7106" t="s">
        <v>678</v>
      </c>
      <c r="B7106" t="s">
        <v>55</v>
      </c>
      <c r="C7106" s="2">
        <f>HYPERLINK("https://sao.dolgi.msk.ru/account/1404259849/", 1404259849)</f>
        <v>1404259849</v>
      </c>
      <c r="D7106">
        <v>1370.59</v>
      </c>
    </row>
    <row r="7107" spans="1:4" hidden="1" x14ac:dyDescent="0.25">
      <c r="A7107" t="s">
        <v>678</v>
      </c>
      <c r="B7107" t="s">
        <v>56</v>
      </c>
      <c r="C7107" s="2">
        <f>HYPERLINK("https://sao.dolgi.msk.ru/account/1404258643/", 1404258643)</f>
        <v>1404258643</v>
      </c>
      <c r="D7107">
        <v>-5626.98</v>
      </c>
    </row>
    <row r="7108" spans="1:4" hidden="1" x14ac:dyDescent="0.25">
      <c r="A7108" t="s">
        <v>678</v>
      </c>
      <c r="B7108" t="s">
        <v>57</v>
      </c>
      <c r="C7108" s="2">
        <f>HYPERLINK("https://sao.dolgi.msk.ru/account/1404259857/", 1404259857)</f>
        <v>1404259857</v>
      </c>
      <c r="D7108">
        <v>-6780.81</v>
      </c>
    </row>
    <row r="7109" spans="1:4" hidden="1" x14ac:dyDescent="0.25">
      <c r="A7109" t="s">
        <v>678</v>
      </c>
      <c r="B7109" t="s">
        <v>57</v>
      </c>
      <c r="C7109" s="2">
        <f>HYPERLINK("https://sao.dolgi.msk.ru/account/1404260428/", 1404260428)</f>
        <v>1404260428</v>
      </c>
      <c r="D7109">
        <v>-2541.61</v>
      </c>
    </row>
    <row r="7110" spans="1:4" hidden="1" x14ac:dyDescent="0.25">
      <c r="A7110" t="s">
        <v>678</v>
      </c>
      <c r="B7110" t="s">
        <v>58</v>
      </c>
      <c r="C7110" s="2">
        <f>HYPERLINK("https://sao.dolgi.msk.ru/account/1404260137/", 1404260137)</f>
        <v>1404260137</v>
      </c>
      <c r="D7110">
        <v>-6171.01</v>
      </c>
    </row>
    <row r="7111" spans="1:4" hidden="1" x14ac:dyDescent="0.25">
      <c r="A7111" t="s">
        <v>678</v>
      </c>
      <c r="B7111" t="s">
        <v>59</v>
      </c>
      <c r="C7111" s="2">
        <f>HYPERLINK("https://sao.dolgi.msk.ru/account/1404259208/", 1404259208)</f>
        <v>1404259208</v>
      </c>
      <c r="D7111">
        <v>-9251.57</v>
      </c>
    </row>
    <row r="7112" spans="1:4" hidden="1" x14ac:dyDescent="0.25">
      <c r="A7112" t="s">
        <v>678</v>
      </c>
      <c r="B7112" t="s">
        <v>60</v>
      </c>
      <c r="C7112" s="2">
        <f>HYPERLINK("https://sao.dolgi.msk.ru/account/1404259865/", 1404259865)</f>
        <v>1404259865</v>
      </c>
      <c r="D7112">
        <v>-9020.02</v>
      </c>
    </row>
    <row r="7113" spans="1:4" x14ac:dyDescent="0.25">
      <c r="A7113" t="s">
        <v>678</v>
      </c>
      <c r="B7113" t="s">
        <v>61</v>
      </c>
      <c r="C7113" s="2">
        <f>HYPERLINK("https://sao.dolgi.msk.ru/account/1404259996/", 1404259996)</f>
        <v>1404259996</v>
      </c>
      <c r="D7113">
        <v>732.3</v>
      </c>
    </row>
    <row r="7114" spans="1:4" hidden="1" x14ac:dyDescent="0.25">
      <c r="A7114" t="s">
        <v>678</v>
      </c>
      <c r="B7114" t="s">
        <v>62</v>
      </c>
      <c r="C7114" s="2">
        <f>HYPERLINK("https://sao.dolgi.msk.ru/account/1404258248/", 1404258248)</f>
        <v>1404258248</v>
      </c>
      <c r="D7114">
        <v>-4507.43</v>
      </c>
    </row>
    <row r="7115" spans="1:4" hidden="1" x14ac:dyDescent="0.25">
      <c r="A7115" t="s">
        <v>678</v>
      </c>
      <c r="B7115" t="s">
        <v>63</v>
      </c>
      <c r="C7115" s="2">
        <f>HYPERLINK("https://sao.dolgi.msk.ru/account/1404259216/", 1404259216)</f>
        <v>1404259216</v>
      </c>
      <c r="D7115">
        <v>-7273.66</v>
      </c>
    </row>
    <row r="7116" spans="1:4" hidden="1" x14ac:dyDescent="0.25">
      <c r="A7116" t="s">
        <v>678</v>
      </c>
      <c r="B7116" t="s">
        <v>64</v>
      </c>
      <c r="C7116" s="2">
        <f>HYPERLINK("https://sao.dolgi.msk.ru/account/1404258651/", 1404258651)</f>
        <v>1404258651</v>
      </c>
      <c r="D7116">
        <v>-5848.53</v>
      </c>
    </row>
    <row r="7117" spans="1:4" hidden="1" x14ac:dyDescent="0.25">
      <c r="A7117" t="s">
        <v>678</v>
      </c>
      <c r="B7117" t="s">
        <v>65</v>
      </c>
      <c r="C7117" s="2">
        <f>HYPERLINK("https://sao.dolgi.msk.ru/account/1404258301/", 1404258301)</f>
        <v>1404258301</v>
      </c>
      <c r="D7117">
        <v>-17358.560000000001</v>
      </c>
    </row>
    <row r="7118" spans="1:4" hidden="1" x14ac:dyDescent="0.25">
      <c r="A7118" t="s">
        <v>678</v>
      </c>
      <c r="B7118" t="s">
        <v>66</v>
      </c>
      <c r="C7118" s="2">
        <f>HYPERLINK("https://sao.dolgi.msk.ru/account/1404260153/", 1404260153)</f>
        <v>1404260153</v>
      </c>
      <c r="D7118">
        <v>-4905.78</v>
      </c>
    </row>
    <row r="7119" spans="1:4" hidden="1" x14ac:dyDescent="0.25">
      <c r="A7119" t="s">
        <v>678</v>
      </c>
      <c r="B7119" t="s">
        <v>67</v>
      </c>
      <c r="C7119" s="2">
        <f>HYPERLINK("https://sao.dolgi.msk.ru/account/1404259742/", 1404259742)</f>
        <v>1404259742</v>
      </c>
      <c r="D7119">
        <v>0</v>
      </c>
    </row>
    <row r="7120" spans="1:4" hidden="1" x14ac:dyDescent="0.25">
      <c r="A7120" t="s">
        <v>678</v>
      </c>
      <c r="B7120" t="s">
        <v>68</v>
      </c>
      <c r="C7120" s="2">
        <f>HYPERLINK("https://sao.dolgi.msk.ru/account/1404259523/", 1404259523)</f>
        <v>1404259523</v>
      </c>
      <c r="D7120">
        <v>0</v>
      </c>
    </row>
    <row r="7121" spans="1:4" hidden="1" x14ac:dyDescent="0.25">
      <c r="A7121" t="s">
        <v>678</v>
      </c>
      <c r="B7121" t="s">
        <v>69</v>
      </c>
      <c r="C7121" s="2">
        <f>HYPERLINK("https://sao.dolgi.msk.ru/account/1404259769/", 1404259769)</f>
        <v>1404259769</v>
      </c>
      <c r="D7121">
        <v>-6448.31</v>
      </c>
    </row>
    <row r="7122" spans="1:4" hidden="1" x14ac:dyDescent="0.25">
      <c r="A7122" t="s">
        <v>678</v>
      </c>
      <c r="B7122" t="s">
        <v>70</v>
      </c>
      <c r="C7122" s="2">
        <f>HYPERLINK("https://sao.dolgi.msk.ru/account/1404258387/", 1404258387)</f>
        <v>1404258387</v>
      </c>
      <c r="D7122">
        <v>-1962.36</v>
      </c>
    </row>
    <row r="7123" spans="1:4" hidden="1" x14ac:dyDescent="0.25">
      <c r="A7123" t="s">
        <v>678</v>
      </c>
      <c r="B7123" t="s">
        <v>70</v>
      </c>
      <c r="C7123" s="2">
        <f>HYPERLINK("https://sao.dolgi.msk.ru/account/1404293895/", 1404293895)</f>
        <v>1404293895</v>
      </c>
      <c r="D7123">
        <v>-1971.84</v>
      </c>
    </row>
    <row r="7124" spans="1:4" hidden="1" x14ac:dyDescent="0.25">
      <c r="A7124" t="s">
        <v>678</v>
      </c>
      <c r="B7124" t="s">
        <v>71</v>
      </c>
      <c r="C7124" s="2">
        <f>HYPERLINK("https://sao.dolgi.msk.ru/account/1404260372/", 1404260372)</f>
        <v>1404260372</v>
      </c>
      <c r="D7124">
        <v>-3930.92</v>
      </c>
    </row>
    <row r="7125" spans="1:4" hidden="1" x14ac:dyDescent="0.25">
      <c r="A7125" t="s">
        <v>678</v>
      </c>
      <c r="B7125" t="s">
        <v>72</v>
      </c>
      <c r="C7125" s="2">
        <f>HYPERLINK("https://sao.dolgi.msk.ru/account/1404259531/", 1404259531)</f>
        <v>1404259531</v>
      </c>
      <c r="D7125">
        <v>-8084.81</v>
      </c>
    </row>
    <row r="7126" spans="1:4" hidden="1" x14ac:dyDescent="0.25">
      <c r="A7126" t="s">
        <v>678</v>
      </c>
      <c r="B7126" t="s">
        <v>73</v>
      </c>
      <c r="C7126" s="2">
        <f>HYPERLINK("https://sao.dolgi.msk.ru/account/1404260284/", 1404260284)</f>
        <v>1404260284</v>
      </c>
      <c r="D7126">
        <v>-9618.44</v>
      </c>
    </row>
    <row r="7127" spans="1:4" hidden="1" x14ac:dyDescent="0.25">
      <c r="A7127" t="s">
        <v>678</v>
      </c>
      <c r="B7127" t="s">
        <v>74</v>
      </c>
      <c r="C7127" s="2">
        <f>HYPERLINK("https://sao.dolgi.msk.ru/account/1404260364/", 1404260364)</f>
        <v>1404260364</v>
      </c>
      <c r="D7127">
        <v>-2796.89</v>
      </c>
    </row>
    <row r="7128" spans="1:4" hidden="1" x14ac:dyDescent="0.25">
      <c r="A7128" t="s">
        <v>678</v>
      </c>
      <c r="B7128" t="s">
        <v>75</v>
      </c>
      <c r="C7128" s="2">
        <f>HYPERLINK("https://sao.dolgi.msk.ru/account/1404258627/", 1404258627)</f>
        <v>1404258627</v>
      </c>
      <c r="D7128">
        <v>0</v>
      </c>
    </row>
    <row r="7129" spans="1:4" hidden="1" x14ac:dyDescent="0.25">
      <c r="A7129" t="s">
        <v>678</v>
      </c>
      <c r="B7129" t="s">
        <v>76</v>
      </c>
      <c r="C7129" s="2">
        <f>HYPERLINK("https://sao.dolgi.msk.ru/account/1404259419/", 1404259419)</f>
        <v>1404259419</v>
      </c>
      <c r="D7129">
        <v>-6214.15</v>
      </c>
    </row>
    <row r="7130" spans="1:4" hidden="1" x14ac:dyDescent="0.25">
      <c r="A7130" t="s">
        <v>678</v>
      </c>
      <c r="B7130" t="s">
        <v>77</v>
      </c>
      <c r="C7130" s="2">
        <f>HYPERLINK("https://sao.dolgi.msk.ru/account/1404258475/", 1404258475)</f>
        <v>1404258475</v>
      </c>
      <c r="D7130">
        <v>0</v>
      </c>
    </row>
    <row r="7131" spans="1:4" x14ac:dyDescent="0.25">
      <c r="A7131" t="s">
        <v>678</v>
      </c>
      <c r="B7131" t="s">
        <v>78</v>
      </c>
      <c r="C7131" s="2">
        <f>HYPERLINK("https://sao.dolgi.msk.ru/account/1404258483/", 1404258483)</f>
        <v>1404258483</v>
      </c>
      <c r="D7131">
        <v>7600.67</v>
      </c>
    </row>
    <row r="7132" spans="1:4" hidden="1" x14ac:dyDescent="0.25">
      <c r="A7132" t="s">
        <v>678</v>
      </c>
      <c r="B7132" t="s">
        <v>79</v>
      </c>
      <c r="C7132" s="2">
        <f>HYPERLINK("https://sao.dolgi.msk.ru/account/1404258897/", 1404258897)</f>
        <v>1404258897</v>
      </c>
      <c r="D7132">
        <v>0</v>
      </c>
    </row>
    <row r="7133" spans="1:4" hidden="1" x14ac:dyDescent="0.25">
      <c r="A7133" t="s">
        <v>678</v>
      </c>
      <c r="B7133" t="s">
        <v>80</v>
      </c>
      <c r="C7133" s="2">
        <f>HYPERLINK("https://sao.dolgi.msk.ru/account/1404259718/", 1404259718)</f>
        <v>1404259718</v>
      </c>
      <c r="D7133">
        <v>0</v>
      </c>
    </row>
    <row r="7134" spans="1:4" hidden="1" x14ac:dyDescent="0.25">
      <c r="A7134" t="s">
        <v>678</v>
      </c>
      <c r="B7134" t="s">
        <v>81</v>
      </c>
      <c r="C7134" s="2">
        <f>HYPERLINK("https://sao.dolgi.msk.ru/account/1404260073/", 1404260073)</f>
        <v>1404260073</v>
      </c>
      <c r="D7134">
        <v>-6000.52</v>
      </c>
    </row>
    <row r="7135" spans="1:4" hidden="1" x14ac:dyDescent="0.25">
      <c r="A7135" t="s">
        <v>678</v>
      </c>
      <c r="B7135" t="s">
        <v>82</v>
      </c>
      <c r="C7135" s="2">
        <f>HYPERLINK("https://sao.dolgi.msk.ru/account/1404259179/", 1404259179)</f>
        <v>1404259179</v>
      </c>
      <c r="D7135">
        <v>-2484.0500000000002</v>
      </c>
    </row>
    <row r="7136" spans="1:4" hidden="1" x14ac:dyDescent="0.25">
      <c r="A7136" t="s">
        <v>678</v>
      </c>
      <c r="B7136" t="s">
        <v>82</v>
      </c>
      <c r="C7136" s="2">
        <f>HYPERLINK("https://sao.dolgi.msk.ru/account/1404293975/", 1404293975)</f>
        <v>1404293975</v>
      </c>
      <c r="D7136">
        <v>0</v>
      </c>
    </row>
    <row r="7137" spans="1:4" hidden="1" x14ac:dyDescent="0.25">
      <c r="A7137" t="s">
        <v>678</v>
      </c>
      <c r="B7137" t="s">
        <v>83</v>
      </c>
      <c r="C7137" s="2">
        <f>HYPERLINK("https://sao.dolgi.msk.ru/account/1404259355/", 1404259355)</f>
        <v>1404259355</v>
      </c>
      <c r="D7137">
        <v>-5711.77</v>
      </c>
    </row>
    <row r="7138" spans="1:4" hidden="1" x14ac:dyDescent="0.25">
      <c r="A7138" t="s">
        <v>678</v>
      </c>
      <c r="B7138" t="s">
        <v>84</v>
      </c>
      <c r="C7138" s="2">
        <f>HYPERLINK("https://sao.dolgi.msk.ru/account/1404258491/", 1404258491)</f>
        <v>1404258491</v>
      </c>
      <c r="D7138">
        <v>-6012.92</v>
      </c>
    </row>
    <row r="7139" spans="1:4" x14ac:dyDescent="0.25">
      <c r="A7139" t="s">
        <v>678</v>
      </c>
      <c r="B7139" t="s">
        <v>85</v>
      </c>
      <c r="C7139" s="2">
        <f>HYPERLINK("https://sao.dolgi.msk.ru/account/1404259638/", 1404259638)</f>
        <v>1404259638</v>
      </c>
      <c r="D7139">
        <v>3608.68</v>
      </c>
    </row>
    <row r="7140" spans="1:4" x14ac:dyDescent="0.25">
      <c r="A7140" t="s">
        <v>678</v>
      </c>
      <c r="B7140" t="s">
        <v>86</v>
      </c>
      <c r="C7140" s="2">
        <f>HYPERLINK("https://sao.dolgi.msk.ru/account/1404258926/", 1404258926)</f>
        <v>1404258926</v>
      </c>
      <c r="D7140">
        <v>33022.51</v>
      </c>
    </row>
    <row r="7141" spans="1:4" hidden="1" x14ac:dyDescent="0.25">
      <c r="A7141" t="s">
        <v>678</v>
      </c>
      <c r="B7141" t="s">
        <v>87</v>
      </c>
      <c r="C7141" s="2">
        <f>HYPERLINK("https://sao.dolgi.msk.ru/account/1404259435/", 1404259435)</f>
        <v>1404259435</v>
      </c>
      <c r="D7141">
        <v>0</v>
      </c>
    </row>
    <row r="7142" spans="1:4" x14ac:dyDescent="0.25">
      <c r="A7142" t="s">
        <v>678</v>
      </c>
      <c r="B7142" t="s">
        <v>88</v>
      </c>
      <c r="C7142" s="2">
        <f>HYPERLINK("https://sao.dolgi.msk.ru/account/1404259048/", 1404259048)</f>
        <v>1404259048</v>
      </c>
      <c r="D7142">
        <v>8451.5499999999993</v>
      </c>
    </row>
    <row r="7143" spans="1:4" hidden="1" x14ac:dyDescent="0.25">
      <c r="A7143" t="s">
        <v>678</v>
      </c>
      <c r="B7143" t="s">
        <v>89</v>
      </c>
      <c r="C7143" s="2">
        <f>HYPERLINK("https://sao.dolgi.msk.ru/account/1404259988/", 1404259988)</f>
        <v>1404259988</v>
      </c>
      <c r="D7143">
        <v>0</v>
      </c>
    </row>
    <row r="7144" spans="1:4" hidden="1" x14ac:dyDescent="0.25">
      <c r="A7144" t="s">
        <v>678</v>
      </c>
      <c r="B7144" t="s">
        <v>90</v>
      </c>
      <c r="C7144" s="2">
        <f>HYPERLINK("https://sao.dolgi.msk.ru/account/1404259726/", 1404259726)</f>
        <v>1404259726</v>
      </c>
      <c r="D7144">
        <v>-6947.85</v>
      </c>
    </row>
    <row r="7145" spans="1:4" hidden="1" x14ac:dyDescent="0.25">
      <c r="A7145" t="s">
        <v>678</v>
      </c>
      <c r="B7145" t="s">
        <v>91</v>
      </c>
      <c r="C7145" s="2">
        <f>HYPERLINK("https://sao.dolgi.msk.ru/account/1404259363/", 1404259363)</f>
        <v>1404259363</v>
      </c>
      <c r="D7145">
        <v>-8905.2199999999993</v>
      </c>
    </row>
    <row r="7146" spans="1:4" hidden="1" x14ac:dyDescent="0.25">
      <c r="A7146" t="s">
        <v>678</v>
      </c>
      <c r="B7146" t="s">
        <v>92</v>
      </c>
      <c r="C7146" s="2">
        <f>HYPERLINK("https://sao.dolgi.msk.ru/account/1404259734/", 1404259734)</f>
        <v>1404259734</v>
      </c>
      <c r="D7146">
        <v>-5793.26</v>
      </c>
    </row>
    <row r="7147" spans="1:4" x14ac:dyDescent="0.25">
      <c r="A7147" t="s">
        <v>678</v>
      </c>
      <c r="B7147" t="s">
        <v>93</v>
      </c>
      <c r="C7147" s="2">
        <f>HYPERLINK("https://sao.dolgi.msk.ru/account/1404260081/", 1404260081)</f>
        <v>1404260081</v>
      </c>
      <c r="D7147">
        <v>66760.25</v>
      </c>
    </row>
    <row r="7148" spans="1:4" hidden="1" x14ac:dyDescent="0.25">
      <c r="A7148" t="s">
        <v>678</v>
      </c>
      <c r="B7148" t="s">
        <v>94</v>
      </c>
      <c r="C7148" s="2">
        <f>HYPERLINK("https://sao.dolgi.msk.ru/account/1404258977/", 1404258977)</f>
        <v>1404258977</v>
      </c>
      <c r="D7148">
        <v>0</v>
      </c>
    </row>
    <row r="7149" spans="1:4" x14ac:dyDescent="0.25">
      <c r="A7149" t="s">
        <v>678</v>
      </c>
      <c r="B7149" t="s">
        <v>95</v>
      </c>
      <c r="C7149" s="2">
        <f>HYPERLINK("https://sao.dolgi.msk.ru/account/1404258408/", 1404258408)</f>
        <v>1404258408</v>
      </c>
      <c r="D7149">
        <v>9450.49</v>
      </c>
    </row>
    <row r="7150" spans="1:4" hidden="1" x14ac:dyDescent="0.25">
      <c r="A7150" t="s">
        <v>678</v>
      </c>
      <c r="B7150" t="s">
        <v>96</v>
      </c>
      <c r="C7150" s="2">
        <f>HYPERLINK("https://sao.dolgi.msk.ru/account/1404259806/", 1404259806)</f>
        <v>1404259806</v>
      </c>
      <c r="D7150">
        <v>-8930.2900000000009</v>
      </c>
    </row>
    <row r="7151" spans="1:4" hidden="1" x14ac:dyDescent="0.25">
      <c r="A7151" t="s">
        <v>678</v>
      </c>
      <c r="B7151" t="s">
        <v>97</v>
      </c>
      <c r="C7151" s="2">
        <f>HYPERLINK("https://sao.dolgi.msk.ru/account/1404258299/", 1404258299)</f>
        <v>1404258299</v>
      </c>
      <c r="D7151">
        <v>0</v>
      </c>
    </row>
    <row r="7152" spans="1:4" hidden="1" x14ac:dyDescent="0.25">
      <c r="A7152" t="s">
        <v>678</v>
      </c>
      <c r="B7152" t="s">
        <v>98</v>
      </c>
      <c r="C7152" s="2">
        <f>HYPERLINK("https://sao.dolgi.msk.ru/account/1404259814/", 1404259814)</f>
        <v>1404259814</v>
      </c>
      <c r="D7152">
        <v>-6133.82</v>
      </c>
    </row>
    <row r="7153" spans="1:4" hidden="1" x14ac:dyDescent="0.25">
      <c r="A7153" t="s">
        <v>678</v>
      </c>
      <c r="B7153" t="s">
        <v>99</v>
      </c>
      <c r="C7153" s="2">
        <f>HYPERLINK("https://sao.dolgi.msk.ru/account/1404259195/", 1404259195)</f>
        <v>1404259195</v>
      </c>
      <c r="D7153">
        <v>-5294.86</v>
      </c>
    </row>
    <row r="7154" spans="1:4" x14ac:dyDescent="0.25">
      <c r="A7154" t="s">
        <v>678</v>
      </c>
      <c r="B7154" t="s">
        <v>100</v>
      </c>
      <c r="C7154" s="2">
        <f>HYPERLINK("https://sao.dolgi.msk.ru/account/1404258985/", 1404258985)</f>
        <v>1404258985</v>
      </c>
      <c r="D7154">
        <v>31862.39</v>
      </c>
    </row>
    <row r="7155" spans="1:4" hidden="1" x14ac:dyDescent="0.25">
      <c r="A7155" t="s">
        <v>678</v>
      </c>
      <c r="B7155" t="s">
        <v>101</v>
      </c>
      <c r="C7155" s="2">
        <f>HYPERLINK("https://sao.dolgi.msk.ru/account/1404258723/", 1404258723)</f>
        <v>1404258723</v>
      </c>
      <c r="D7155">
        <v>-8444.73</v>
      </c>
    </row>
    <row r="7156" spans="1:4" hidden="1" x14ac:dyDescent="0.25">
      <c r="A7156" t="s">
        <v>678</v>
      </c>
      <c r="B7156" t="s">
        <v>102</v>
      </c>
      <c r="C7156" s="2">
        <f>HYPERLINK("https://sao.dolgi.msk.ru/account/1404258635/", 1404258635)</f>
        <v>1404258635</v>
      </c>
      <c r="D7156">
        <v>-4065.43</v>
      </c>
    </row>
    <row r="7157" spans="1:4" hidden="1" x14ac:dyDescent="0.25">
      <c r="A7157" t="s">
        <v>678</v>
      </c>
      <c r="B7157" t="s">
        <v>103</v>
      </c>
      <c r="C7157" s="2">
        <f>HYPERLINK("https://sao.dolgi.msk.ru/account/1404260196/", 1404260196)</f>
        <v>1404260196</v>
      </c>
      <c r="D7157">
        <v>-4817.5200000000004</v>
      </c>
    </row>
    <row r="7158" spans="1:4" hidden="1" x14ac:dyDescent="0.25">
      <c r="A7158" t="s">
        <v>678</v>
      </c>
      <c r="B7158" t="s">
        <v>104</v>
      </c>
      <c r="C7158" s="2">
        <f>HYPERLINK("https://sao.dolgi.msk.ru/account/1404259697/", 1404259697)</f>
        <v>1404259697</v>
      </c>
      <c r="D7158">
        <v>-5495.52</v>
      </c>
    </row>
    <row r="7159" spans="1:4" hidden="1" x14ac:dyDescent="0.25">
      <c r="A7159" t="s">
        <v>678</v>
      </c>
      <c r="B7159" t="s">
        <v>105</v>
      </c>
      <c r="C7159" s="2">
        <f>HYPERLINK("https://sao.dolgi.msk.ru/account/1404258969/", 1404258969)</f>
        <v>1404258969</v>
      </c>
      <c r="D7159">
        <v>0</v>
      </c>
    </row>
    <row r="7160" spans="1:4" x14ac:dyDescent="0.25">
      <c r="A7160" t="s">
        <v>678</v>
      </c>
      <c r="B7160" t="s">
        <v>106</v>
      </c>
      <c r="C7160" s="2">
        <f>HYPERLINK("https://sao.dolgi.msk.ru/account/1404260356/", 1404260356)</f>
        <v>1404260356</v>
      </c>
      <c r="D7160">
        <v>30714.48</v>
      </c>
    </row>
    <row r="7161" spans="1:4" x14ac:dyDescent="0.25">
      <c r="A7161" t="s">
        <v>678</v>
      </c>
      <c r="B7161" t="s">
        <v>107</v>
      </c>
      <c r="C7161" s="2">
        <f>HYPERLINK("https://sao.dolgi.msk.ru/account/1404259144/", 1404259144)</f>
        <v>1404259144</v>
      </c>
      <c r="D7161">
        <v>30405</v>
      </c>
    </row>
    <row r="7162" spans="1:4" hidden="1" x14ac:dyDescent="0.25">
      <c r="A7162" t="s">
        <v>678</v>
      </c>
      <c r="B7162" t="s">
        <v>108</v>
      </c>
      <c r="C7162" s="2">
        <f>HYPERLINK("https://sao.dolgi.msk.ru/account/1404258272/", 1404258272)</f>
        <v>1404258272</v>
      </c>
      <c r="D7162">
        <v>0</v>
      </c>
    </row>
    <row r="7163" spans="1:4" hidden="1" x14ac:dyDescent="0.25">
      <c r="A7163" t="s">
        <v>678</v>
      </c>
      <c r="B7163" t="s">
        <v>109</v>
      </c>
      <c r="C7163" s="2">
        <f>HYPERLINK("https://sao.dolgi.msk.ru/account/1404258934/", 1404258934)</f>
        <v>1404258934</v>
      </c>
      <c r="D7163">
        <v>0</v>
      </c>
    </row>
    <row r="7164" spans="1:4" hidden="1" x14ac:dyDescent="0.25">
      <c r="A7164" t="s">
        <v>678</v>
      </c>
      <c r="B7164" t="s">
        <v>110</v>
      </c>
      <c r="C7164" s="2">
        <f>HYPERLINK("https://sao.dolgi.msk.ru/account/1404260129/", 1404260129)</f>
        <v>1404260129</v>
      </c>
      <c r="D7164">
        <v>-5932.55</v>
      </c>
    </row>
    <row r="7165" spans="1:4" hidden="1" x14ac:dyDescent="0.25">
      <c r="A7165" t="s">
        <v>678</v>
      </c>
      <c r="B7165" t="s">
        <v>111</v>
      </c>
      <c r="C7165" s="2">
        <f>HYPERLINK("https://sao.dolgi.msk.ru/account/1404260292/", 1404260292)</f>
        <v>1404260292</v>
      </c>
      <c r="D7165">
        <v>0</v>
      </c>
    </row>
    <row r="7166" spans="1:4" x14ac:dyDescent="0.25">
      <c r="A7166" t="s">
        <v>678</v>
      </c>
      <c r="B7166" t="s">
        <v>112</v>
      </c>
      <c r="C7166" s="2">
        <f>HYPERLINK("https://sao.dolgi.msk.ru/account/1404260305/", 1404260305)</f>
        <v>1404260305</v>
      </c>
      <c r="D7166">
        <v>27823.7</v>
      </c>
    </row>
    <row r="7167" spans="1:4" hidden="1" x14ac:dyDescent="0.25">
      <c r="A7167" t="s">
        <v>678</v>
      </c>
      <c r="B7167" t="s">
        <v>113</v>
      </c>
      <c r="C7167" s="2">
        <f>HYPERLINK("https://sao.dolgi.msk.ru/account/1404259347/", 1404259347)</f>
        <v>1404259347</v>
      </c>
      <c r="D7167">
        <v>-9940.85</v>
      </c>
    </row>
    <row r="7168" spans="1:4" hidden="1" x14ac:dyDescent="0.25">
      <c r="A7168" t="s">
        <v>678</v>
      </c>
      <c r="B7168" t="s">
        <v>114</v>
      </c>
      <c r="C7168" s="2">
        <f>HYPERLINK("https://sao.dolgi.msk.ru/account/1404258256/", 1404258256)</f>
        <v>1404258256</v>
      </c>
      <c r="D7168">
        <v>0</v>
      </c>
    </row>
    <row r="7169" spans="1:4" hidden="1" x14ac:dyDescent="0.25">
      <c r="A7169" t="s">
        <v>678</v>
      </c>
      <c r="B7169" t="s">
        <v>115</v>
      </c>
      <c r="C7169" s="2">
        <f>HYPERLINK("https://sao.dolgi.msk.ru/account/1404259443/", 1404259443)</f>
        <v>1404259443</v>
      </c>
      <c r="D7169">
        <v>-9166.09</v>
      </c>
    </row>
    <row r="7170" spans="1:4" hidden="1" x14ac:dyDescent="0.25">
      <c r="A7170" t="s">
        <v>678</v>
      </c>
      <c r="B7170" t="s">
        <v>116</v>
      </c>
      <c r="C7170" s="2">
        <f>HYPERLINK("https://sao.dolgi.msk.ru/account/1404259451/", 1404259451)</f>
        <v>1404259451</v>
      </c>
      <c r="D7170">
        <v>-5362.1</v>
      </c>
    </row>
    <row r="7171" spans="1:4" hidden="1" x14ac:dyDescent="0.25">
      <c r="A7171" t="s">
        <v>678</v>
      </c>
      <c r="B7171" t="s">
        <v>117</v>
      </c>
      <c r="C7171" s="2">
        <f>HYPERLINK("https://sao.dolgi.msk.ru/account/1404258555/", 1404258555)</f>
        <v>1404258555</v>
      </c>
      <c r="D7171">
        <v>-6532.26</v>
      </c>
    </row>
    <row r="7172" spans="1:4" hidden="1" x14ac:dyDescent="0.25">
      <c r="A7172" t="s">
        <v>678</v>
      </c>
      <c r="B7172" t="s">
        <v>118</v>
      </c>
      <c r="C7172" s="2">
        <f>HYPERLINK("https://sao.dolgi.msk.ru/account/1404259187/", 1404259187)</f>
        <v>1404259187</v>
      </c>
      <c r="D7172">
        <v>0</v>
      </c>
    </row>
    <row r="7173" spans="1:4" hidden="1" x14ac:dyDescent="0.25">
      <c r="A7173" t="s">
        <v>678</v>
      </c>
      <c r="B7173" t="s">
        <v>119</v>
      </c>
      <c r="C7173" s="2">
        <f>HYPERLINK("https://sao.dolgi.msk.ru/account/1404258854/", 1404258854)</f>
        <v>1404258854</v>
      </c>
      <c r="D7173">
        <v>-5750.75</v>
      </c>
    </row>
    <row r="7174" spans="1:4" x14ac:dyDescent="0.25">
      <c r="A7174" t="s">
        <v>678</v>
      </c>
      <c r="B7174" t="s">
        <v>120</v>
      </c>
      <c r="C7174" s="2">
        <f>HYPERLINK("https://sao.dolgi.msk.ru/account/1404260065/", 1404260065)</f>
        <v>1404260065</v>
      </c>
      <c r="D7174">
        <v>1801.93</v>
      </c>
    </row>
    <row r="7175" spans="1:4" x14ac:dyDescent="0.25">
      <c r="A7175" t="s">
        <v>678</v>
      </c>
      <c r="B7175" t="s">
        <v>121</v>
      </c>
      <c r="C7175" s="2">
        <f>HYPERLINK("https://sao.dolgi.msk.ru/account/1404258459/", 1404258459)</f>
        <v>1404258459</v>
      </c>
      <c r="D7175">
        <v>14878.13</v>
      </c>
    </row>
    <row r="7176" spans="1:4" hidden="1" x14ac:dyDescent="0.25">
      <c r="A7176" t="s">
        <v>678</v>
      </c>
      <c r="B7176" t="s">
        <v>122</v>
      </c>
      <c r="C7176" s="2">
        <f>HYPERLINK("https://sao.dolgi.msk.ru/account/1404259136/", 1404259136)</f>
        <v>1404259136</v>
      </c>
      <c r="D7176">
        <v>0</v>
      </c>
    </row>
    <row r="7177" spans="1:4" hidden="1" x14ac:dyDescent="0.25">
      <c r="A7177" t="s">
        <v>678</v>
      </c>
      <c r="B7177" t="s">
        <v>123</v>
      </c>
      <c r="C7177" s="2">
        <f>HYPERLINK("https://sao.dolgi.msk.ru/account/1404258862/", 1404258862)</f>
        <v>1404258862</v>
      </c>
      <c r="D7177">
        <v>0</v>
      </c>
    </row>
    <row r="7178" spans="1:4" hidden="1" x14ac:dyDescent="0.25">
      <c r="A7178" t="s">
        <v>678</v>
      </c>
      <c r="B7178" t="s">
        <v>124</v>
      </c>
      <c r="C7178" s="2">
        <f>HYPERLINK("https://sao.dolgi.msk.ru/account/1404260014/", 1404260014)</f>
        <v>1404260014</v>
      </c>
      <c r="D7178">
        <v>0</v>
      </c>
    </row>
    <row r="7179" spans="1:4" hidden="1" x14ac:dyDescent="0.25">
      <c r="A7179" t="s">
        <v>678</v>
      </c>
      <c r="B7179" t="s">
        <v>125</v>
      </c>
      <c r="C7179" s="2">
        <f>HYPERLINK("https://sao.dolgi.msk.ru/account/1404260022/", 1404260022)</f>
        <v>1404260022</v>
      </c>
      <c r="D7179">
        <v>0</v>
      </c>
    </row>
    <row r="7180" spans="1:4" hidden="1" x14ac:dyDescent="0.25">
      <c r="A7180" t="s">
        <v>678</v>
      </c>
      <c r="B7180" t="s">
        <v>126</v>
      </c>
      <c r="C7180" s="2">
        <f>HYPERLINK("https://sao.dolgi.msk.ru/account/1404259291/", 1404259291)</f>
        <v>1404259291</v>
      </c>
      <c r="D7180">
        <v>0</v>
      </c>
    </row>
    <row r="7181" spans="1:4" hidden="1" x14ac:dyDescent="0.25">
      <c r="A7181" t="s">
        <v>678</v>
      </c>
      <c r="B7181" t="s">
        <v>127</v>
      </c>
      <c r="C7181" s="2">
        <f>HYPERLINK("https://sao.dolgi.msk.ru/account/1404260049/", 1404260049)</f>
        <v>1404260049</v>
      </c>
      <c r="D7181">
        <v>0</v>
      </c>
    </row>
    <row r="7182" spans="1:4" x14ac:dyDescent="0.25">
      <c r="A7182" t="s">
        <v>678</v>
      </c>
      <c r="B7182" t="s">
        <v>128</v>
      </c>
      <c r="C7182" s="2">
        <f>HYPERLINK("https://sao.dolgi.msk.ru/account/1404260225/", 1404260225)</f>
        <v>1404260225</v>
      </c>
      <c r="D7182">
        <v>23366.23</v>
      </c>
    </row>
    <row r="7183" spans="1:4" hidden="1" x14ac:dyDescent="0.25">
      <c r="A7183" t="s">
        <v>678</v>
      </c>
      <c r="B7183" t="s">
        <v>129</v>
      </c>
      <c r="C7183" s="2">
        <f>HYPERLINK("https://sao.dolgi.msk.ru/account/1404260057/", 1404260057)</f>
        <v>1404260057</v>
      </c>
      <c r="D7183">
        <v>0</v>
      </c>
    </row>
    <row r="7184" spans="1:4" hidden="1" x14ac:dyDescent="0.25">
      <c r="A7184" t="s">
        <v>678</v>
      </c>
      <c r="B7184" t="s">
        <v>130</v>
      </c>
      <c r="C7184" s="2">
        <f>HYPERLINK("https://sao.dolgi.msk.ru/account/1404260233/", 1404260233)</f>
        <v>1404260233</v>
      </c>
      <c r="D7184">
        <v>0</v>
      </c>
    </row>
    <row r="7185" spans="1:4" hidden="1" x14ac:dyDescent="0.25">
      <c r="A7185" t="s">
        <v>678</v>
      </c>
      <c r="B7185" t="s">
        <v>131</v>
      </c>
      <c r="C7185" s="2">
        <f>HYPERLINK("https://sao.dolgi.msk.ru/account/1404260268/", 1404260268)</f>
        <v>1404260268</v>
      </c>
      <c r="D7185">
        <v>0</v>
      </c>
    </row>
    <row r="7186" spans="1:4" hidden="1" x14ac:dyDescent="0.25">
      <c r="A7186" t="s">
        <v>678</v>
      </c>
      <c r="B7186" t="s">
        <v>132</v>
      </c>
      <c r="C7186" s="2">
        <f>HYPERLINK("https://sao.dolgi.msk.ru/account/1404259304/", 1404259304)</f>
        <v>1404259304</v>
      </c>
      <c r="D7186">
        <v>0</v>
      </c>
    </row>
    <row r="7187" spans="1:4" x14ac:dyDescent="0.25">
      <c r="A7187" t="s">
        <v>678</v>
      </c>
      <c r="B7187" t="s">
        <v>133</v>
      </c>
      <c r="C7187" s="2">
        <f>HYPERLINK("https://sao.dolgi.msk.ru/account/1404258424/", 1404258424)</f>
        <v>1404258424</v>
      </c>
      <c r="D7187">
        <v>2140.7399999999998</v>
      </c>
    </row>
    <row r="7188" spans="1:4" hidden="1" x14ac:dyDescent="0.25">
      <c r="A7188" t="s">
        <v>678</v>
      </c>
      <c r="B7188" t="s">
        <v>134</v>
      </c>
      <c r="C7188" s="2">
        <f>HYPERLINK("https://sao.dolgi.msk.ru/account/1404259232/", 1404259232)</f>
        <v>1404259232</v>
      </c>
      <c r="D7188">
        <v>0</v>
      </c>
    </row>
    <row r="7189" spans="1:4" hidden="1" x14ac:dyDescent="0.25">
      <c r="A7189" t="s">
        <v>678</v>
      </c>
      <c r="B7189" t="s">
        <v>135</v>
      </c>
      <c r="C7189" s="2">
        <f>HYPERLINK("https://sao.dolgi.msk.ru/account/1404258395/", 1404258395)</f>
        <v>1404258395</v>
      </c>
      <c r="D7189">
        <v>-4474.9799999999996</v>
      </c>
    </row>
    <row r="7190" spans="1:4" hidden="1" x14ac:dyDescent="0.25">
      <c r="A7190" t="s">
        <v>678</v>
      </c>
      <c r="B7190" t="s">
        <v>136</v>
      </c>
      <c r="C7190" s="2">
        <f>HYPERLINK("https://sao.dolgi.msk.ru/account/1404258889/", 1404258889)</f>
        <v>1404258889</v>
      </c>
      <c r="D7190">
        <v>-8652.09</v>
      </c>
    </row>
    <row r="7191" spans="1:4" x14ac:dyDescent="0.25">
      <c r="A7191" t="s">
        <v>678</v>
      </c>
      <c r="B7191" t="s">
        <v>137</v>
      </c>
      <c r="C7191" s="2">
        <f>HYPERLINK("https://sao.dolgi.msk.ru/account/1404259961/", 1404259961)</f>
        <v>1404259961</v>
      </c>
      <c r="D7191">
        <v>17852.580000000002</v>
      </c>
    </row>
    <row r="7192" spans="1:4" x14ac:dyDescent="0.25">
      <c r="A7192" t="s">
        <v>678</v>
      </c>
      <c r="B7192" t="s">
        <v>138</v>
      </c>
      <c r="C7192" s="2">
        <f>HYPERLINK("https://sao.dolgi.msk.ru/account/1404259259/", 1404259259)</f>
        <v>1404259259</v>
      </c>
      <c r="D7192">
        <v>27349.79</v>
      </c>
    </row>
    <row r="7193" spans="1:4" hidden="1" x14ac:dyDescent="0.25">
      <c r="A7193" t="s">
        <v>678</v>
      </c>
      <c r="B7193" t="s">
        <v>139</v>
      </c>
      <c r="C7193" s="2">
        <f>HYPERLINK("https://sao.dolgi.msk.ru/account/1404259574/", 1404259574)</f>
        <v>1404259574</v>
      </c>
      <c r="D7193">
        <v>0</v>
      </c>
    </row>
    <row r="7194" spans="1:4" x14ac:dyDescent="0.25">
      <c r="A7194" t="s">
        <v>678</v>
      </c>
      <c r="B7194" t="s">
        <v>140</v>
      </c>
      <c r="C7194" s="2">
        <f>HYPERLINK("https://sao.dolgi.msk.ru/account/1404258467/", 1404258467)</f>
        <v>1404258467</v>
      </c>
      <c r="D7194">
        <v>18376.939999999999</v>
      </c>
    </row>
    <row r="7195" spans="1:4" hidden="1" x14ac:dyDescent="0.25">
      <c r="A7195" t="s">
        <v>678</v>
      </c>
      <c r="B7195" t="s">
        <v>140</v>
      </c>
      <c r="C7195" s="2">
        <f>HYPERLINK("https://sao.dolgi.msk.ru/account/1404258731/", 1404258731)</f>
        <v>1404258731</v>
      </c>
      <c r="D7195">
        <v>-4323.79</v>
      </c>
    </row>
    <row r="7196" spans="1:4" hidden="1" x14ac:dyDescent="0.25">
      <c r="A7196" t="s">
        <v>678</v>
      </c>
      <c r="B7196" t="s">
        <v>140</v>
      </c>
      <c r="C7196" s="2">
        <f>HYPERLINK("https://sao.dolgi.msk.ru/account/1404258758/", 1404258758)</f>
        <v>1404258758</v>
      </c>
      <c r="D7196">
        <v>-1418.21</v>
      </c>
    </row>
    <row r="7197" spans="1:4" x14ac:dyDescent="0.25">
      <c r="A7197" t="s">
        <v>678</v>
      </c>
      <c r="B7197" t="s">
        <v>141</v>
      </c>
      <c r="C7197" s="2">
        <f>HYPERLINK("https://sao.dolgi.msk.ru/account/1404258686/", 1404258686)</f>
        <v>1404258686</v>
      </c>
      <c r="D7197">
        <v>16519.71</v>
      </c>
    </row>
    <row r="7198" spans="1:4" x14ac:dyDescent="0.25">
      <c r="A7198" t="s">
        <v>678</v>
      </c>
      <c r="B7198" t="s">
        <v>142</v>
      </c>
      <c r="C7198" s="2">
        <f>HYPERLINK("https://sao.dolgi.msk.ru/account/1404260188/", 1404260188)</f>
        <v>1404260188</v>
      </c>
      <c r="D7198">
        <v>8057.95</v>
      </c>
    </row>
    <row r="7199" spans="1:4" hidden="1" x14ac:dyDescent="0.25">
      <c r="A7199" t="s">
        <v>678</v>
      </c>
      <c r="B7199" t="s">
        <v>143</v>
      </c>
      <c r="C7199" s="2">
        <f>HYPERLINK("https://sao.dolgi.msk.ru/account/1404260401/", 1404260401)</f>
        <v>1404260401</v>
      </c>
      <c r="D7199">
        <v>-4976.41</v>
      </c>
    </row>
    <row r="7200" spans="1:4" x14ac:dyDescent="0.25">
      <c r="A7200" t="s">
        <v>678</v>
      </c>
      <c r="B7200" t="s">
        <v>144</v>
      </c>
      <c r="C7200" s="2">
        <f>HYPERLINK("https://sao.dolgi.msk.ru/account/1404259478/", 1404259478)</f>
        <v>1404259478</v>
      </c>
      <c r="D7200">
        <v>20803.02</v>
      </c>
    </row>
    <row r="7201" spans="1:4" hidden="1" x14ac:dyDescent="0.25">
      <c r="A7201" t="s">
        <v>678</v>
      </c>
      <c r="B7201" t="s">
        <v>145</v>
      </c>
      <c r="C7201" s="2">
        <f>HYPERLINK("https://sao.dolgi.msk.ru/account/1404258264/", 1404258264)</f>
        <v>1404258264</v>
      </c>
      <c r="D7201">
        <v>0</v>
      </c>
    </row>
    <row r="7202" spans="1:4" hidden="1" x14ac:dyDescent="0.25">
      <c r="A7202" t="s">
        <v>678</v>
      </c>
      <c r="B7202" t="s">
        <v>146</v>
      </c>
      <c r="C7202" s="2">
        <f>HYPERLINK("https://sao.dolgi.msk.ru/account/1404259937/", 1404259937)</f>
        <v>1404259937</v>
      </c>
      <c r="D7202">
        <v>0</v>
      </c>
    </row>
    <row r="7203" spans="1:4" hidden="1" x14ac:dyDescent="0.25">
      <c r="A7203" t="s">
        <v>678</v>
      </c>
      <c r="B7203" t="s">
        <v>147</v>
      </c>
      <c r="C7203" s="2">
        <f>HYPERLINK("https://sao.dolgi.msk.ru/account/1404260313/", 1404260313)</f>
        <v>1404260313</v>
      </c>
      <c r="D7203">
        <v>-4782.2299999999996</v>
      </c>
    </row>
    <row r="7204" spans="1:4" hidden="1" x14ac:dyDescent="0.25">
      <c r="A7204" t="s">
        <v>678</v>
      </c>
      <c r="B7204" t="s">
        <v>148</v>
      </c>
      <c r="C7204" s="2">
        <f>HYPERLINK("https://sao.dolgi.msk.ru/account/1404259486/", 1404259486)</f>
        <v>1404259486</v>
      </c>
      <c r="D7204">
        <v>-6663.04</v>
      </c>
    </row>
    <row r="7205" spans="1:4" hidden="1" x14ac:dyDescent="0.25">
      <c r="A7205" t="s">
        <v>678</v>
      </c>
      <c r="B7205" t="s">
        <v>149</v>
      </c>
      <c r="C7205" s="2">
        <f>HYPERLINK("https://sao.dolgi.msk.ru/account/1404260145/", 1404260145)</f>
        <v>1404260145</v>
      </c>
      <c r="D7205">
        <v>-16279.2</v>
      </c>
    </row>
    <row r="7206" spans="1:4" x14ac:dyDescent="0.25">
      <c r="A7206" t="s">
        <v>678</v>
      </c>
      <c r="B7206" t="s">
        <v>150</v>
      </c>
      <c r="C7206" s="2">
        <f>HYPERLINK("https://sao.dolgi.msk.ru/account/1404258563/", 1404258563)</f>
        <v>1404258563</v>
      </c>
      <c r="D7206">
        <v>11063.43</v>
      </c>
    </row>
    <row r="7207" spans="1:4" x14ac:dyDescent="0.25">
      <c r="A7207" t="s">
        <v>678</v>
      </c>
      <c r="B7207" t="s">
        <v>151</v>
      </c>
      <c r="C7207" s="2">
        <f>HYPERLINK("https://sao.dolgi.msk.ru/account/1404260321/", 1404260321)</f>
        <v>1404260321</v>
      </c>
      <c r="D7207">
        <v>11362.47</v>
      </c>
    </row>
    <row r="7208" spans="1:4" hidden="1" x14ac:dyDescent="0.25">
      <c r="A7208" t="s">
        <v>678</v>
      </c>
      <c r="B7208" t="s">
        <v>152</v>
      </c>
      <c r="C7208" s="2">
        <f>HYPERLINK("https://sao.dolgi.msk.ru/account/1404258571/", 1404258571)</f>
        <v>1404258571</v>
      </c>
      <c r="D7208">
        <v>0</v>
      </c>
    </row>
    <row r="7209" spans="1:4" hidden="1" x14ac:dyDescent="0.25">
      <c r="A7209" t="s">
        <v>678</v>
      </c>
      <c r="B7209" t="s">
        <v>153</v>
      </c>
      <c r="C7209" s="2">
        <f>HYPERLINK("https://sao.dolgi.msk.ru/account/1404258694/", 1404258694)</f>
        <v>1404258694</v>
      </c>
      <c r="D7209">
        <v>-9336.5400000000009</v>
      </c>
    </row>
    <row r="7210" spans="1:4" hidden="1" x14ac:dyDescent="0.25">
      <c r="A7210" t="s">
        <v>678</v>
      </c>
      <c r="B7210" t="s">
        <v>154</v>
      </c>
      <c r="C7210" s="2">
        <f>HYPERLINK("https://sao.dolgi.msk.ru/account/1404258598/", 1404258598)</f>
        <v>1404258598</v>
      </c>
      <c r="D7210">
        <v>0</v>
      </c>
    </row>
    <row r="7211" spans="1:4" hidden="1" x14ac:dyDescent="0.25">
      <c r="A7211" t="s">
        <v>678</v>
      </c>
      <c r="B7211" t="s">
        <v>155</v>
      </c>
      <c r="C7211" s="2">
        <f>HYPERLINK("https://sao.dolgi.msk.ru/account/1404258782/", 1404258782)</f>
        <v>1404258782</v>
      </c>
      <c r="D7211">
        <v>-3539.23</v>
      </c>
    </row>
    <row r="7212" spans="1:4" hidden="1" x14ac:dyDescent="0.25">
      <c r="A7212" t="s">
        <v>678</v>
      </c>
      <c r="B7212" t="s">
        <v>156</v>
      </c>
      <c r="C7212" s="2">
        <f>HYPERLINK("https://sao.dolgi.msk.ru/account/1404258141/", 1404258141)</f>
        <v>1404258141</v>
      </c>
      <c r="D7212">
        <v>-8497.58</v>
      </c>
    </row>
    <row r="7213" spans="1:4" x14ac:dyDescent="0.25">
      <c r="A7213" t="s">
        <v>678</v>
      </c>
      <c r="B7213" t="s">
        <v>157</v>
      </c>
      <c r="C7213" s="2">
        <f>HYPERLINK("https://sao.dolgi.msk.ru/account/1404258416/", 1404258416)</f>
        <v>1404258416</v>
      </c>
      <c r="D7213">
        <v>30045.98</v>
      </c>
    </row>
    <row r="7214" spans="1:4" hidden="1" x14ac:dyDescent="0.25">
      <c r="A7214" t="s">
        <v>678</v>
      </c>
      <c r="B7214" t="s">
        <v>158</v>
      </c>
      <c r="C7214" s="2">
        <f>HYPERLINK("https://sao.dolgi.msk.ru/account/1404258803/", 1404258803)</f>
        <v>1404258803</v>
      </c>
      <c r="D7214">
        <v>-3452.69</v>
      </c>
    </row>
    <row r="7215" spans="1:4" hidden="1" x14ac:dyDescent="0.25">
      <c r="A7215" t="s">
        <v>678</v>
      </c>
      <c r="B7215" t="s">
        <v>159</v>
      </c>
      <c r="C7215" s="2">
        <f>HYPERLINK("https://sao.dolgi.msk.ru/account/1404259064/", 1404259064)</f>
        <v>1404259064</v>
      </c>
      <c r="D7215">
        <v>0</v>
      </c>
    </row>
    <row r="7216" spans="1:4" hidden="1" x14ac:dyDescent="0.25">
      <c r="A7216" t="s">
        <v>678</v>
      </c>
      <c r="B7216" t="s">
        <v>160</v>
      </c>
      <c r="C7216" s="2">
        <f>HYPERLINK("https://sao.dolgi.msk.ru/account/1404259283/", 1404259283)</f>
        <v>1404259283</v>
      </c>
      <c r="D7216">
        <v>-4995.88</v>
      </c>
    </row>
    <row r="7217" spans="1:4" hidden="1" x14ac:dyDescent="0.25">
      <c r="A7217" t="s">
        <v>678</v>
      </c>
      <c r="B7217" t="s">
        <v>161</v>
      </c>
      <c r="C7217" s="2">
        <f>HYPERLINK("https://sao.dolgi.msk.ru/account/1404258619/", 1404258619)</f>
        <v>1404258619</v>
      </c>
      <c r="D7217">
        <v>-9148.64</v>
      </c>
    </row>
    <row r="7218" spans="1:4" x14ac:dyDescent="0.25">
      <c r="A7218" t="s">
        <v>678</v>
      </c>
      <c r="B7218" t="s">
        <v>162</v>
      </c>
      <c r="C7218" s="2">
        <f>HYPERLINK("https://sao.dolgi.msk.ru/account/1404260348/", 1404260348)</f>
        <v>1404260348</v>
      </c>
      <c r="D7218">
        <v>22862.38</v>
      </c>
    </row>
    <row r="7219" spans="1:4" hidden="1" x14ac:dyDescent="0.25">
      <c r="A7219" t="s">
        <v>678</v>
      </c>
      <c r="B7219" t="s">
        <v>163</v>
      </c>
      <c r="C7219" s="2">
        <f>HYPERLINK("https://sao.dolgi.msk.ru/account/1404259611/", 1404259611)</f>
        <v>1404259611</v>
      </c>
      <c r="D7219">
        <v>-6581.31</v>
      </c>
    </row>
    <row r="7220" spans="1:4" hidden="1" x14ac:dyDescent="0.25">
      <c r="A7220" t="s">
        <v>678</v>
      </c>
      <c r="B7220" t="s">
        <v>164</v>
      </c>
      <c r="C7220" s="2">
        <f>HYPERLINK("https://sao.dolgi.msk.ru/account/1404259558/", 1404259558)</f>
        <v>1404259558</v>
      </c>
      <c r="D7220">
        <v>-8402.39</v>
      </c>
    </row>
    <row r="7221" spans="1:4" x14ac:dyDescent="0.25">
      <c r="A7221" t="s">
        <v>678</v>
      </c>
      <c r="B7221" t="s">
        <v>165</v>
      </c>
      <c r="C7221" s="2">
        <f>HYPERLINK("https://sao.dolgi.msk.ru/account/1404259945/", 1404259945)</f>
        <v>1404259945</v>
      </c>
      <c r="D7221">
        <v>9110.6299999999992</v>
      </c>
    </row>
    <row r="7222" spans="1:4" hidden="1" x14ac:dyDescent="0.25">
      <c r="A7222" t="s">
        <v>678</v>
      </c>
      <c r="B7222" t="s">
        <v>166</v>
      </c>
      <c r="C7222" s="2">
        <f>HYPERLINK("https://sao.dolgi.msk.ru/account/1404259021/", 1404259021)</f>
        <v>1404259021</v>
      </c>
      <c r="D7222">
        <v>-5276.79</v>
      </c>
    </row>
    <row r="7223" spans="1:4" hidden="1" x14ac:dyDescent="0.25">
      <c r="A7223" t="s">
        <v>678</v>
      </c>
      <c r="B7223" t="s">
        <v>167</v>
      </c>
      <c r="C7223" s="2">
        <f>HYPERLINK("https://sao.dolgi.msk.ru/account/1404260399/", 1404260399)</f>
        <v>1404260399</v>
      </c>
      <c r="D7223">
        <v>-5976.79</v>
      </c>
    </row>
    <row r="7224" spans="1:4" x14ac:dyDescent="0.25">
      <c r="A7224" t="s">
        <v>678</v>
      </c>
      <c r="B7224" t="s">
        <v>168</v>
      </c>
      <c r="C7224" s="2">
        <f>HYPERLINK("https://sao.dolgi.msk.ru/account/1404259072/", 1404259072)</f>
        <v>1404259072</v>
      </c>
      <c r="D7224">
        <v>14884.18</v>
      </c>
    </row>
    <row r="7225" spans="1:4" x14ac:dyDescent="0.25">
      <c r="A7225" t="s">
        <v>678</v>
      </c>
      <c r="B7225" t="s">
        <v>169</v>
      </c>
      <c r="C7225" s="2">
        <f>HYPERLINK("https://sao.dolgi.msk.ru/account/1404259005/", 1404259005)</f>
        <v>1404259005</v>
      </c>
      <c r="D7225">
        <v>15517.12</v>
      </c>
    </row>
    <row r="7226" spans="1:4" hidden="1" x14ac:dyDescent="0.25">
      <c r="A7226" t="s">
        <v>678</v>
      </c>
      <c r="B7226" t="s">
        <v>170</v>
      </c>
      <c r="C7226" s="2">
        <f>HYPERLINK("https://sao.dolgi.msk.ru/account/1404258328/", 1404258328)</f>
        <v>1404258328</v>
      </c>
      <c r="D7226">
        <v>0</v>
      </c>
    </row>
    <row r="7227" spans="1:4" hidden="1" x14ac:dyDescent="0.25">
      <c r="A7227" t="s">
        <v>678</v>
      </c>
      <c r="B7227" t="s">
        <v>171</v>
      </c>
      <c r="C7227" s="2">
        <f>HYPERLINK("https://sao.dolgi.msk.ru/account/1404258707/", 1404258707)</f>
        <v>1404258707</v>
      </c>
      <c r="D7227">
        <v>-7155.97</v>
      </c>
    </row>
    <row r="7228" spans="1:4" hidden="1" x14ac:dyDescent="0.25">
      <c r="A7228" t="s">
        <v>678</v>
      </c>
      <c r="B7228" t="s">
        <v>172</v>
      </c>
      <c r="C7228" s="2">
        <f>HYPERLINK("https://sao.dolgi.msk.ru/account/1404259566/", 1404259566)</f>
        <v>1404259566</v>
      </c>
      <c r="D7228">
        <v>0</v>
      </c>
    </row>
    <row r="7229" spans="1:4" hidden="1" x14ac:dyDescent="0.25">
      <c r="A7229" t="s">
        <v>678</v>
      </c>
      <c r="B7229" t="s">
        <v>173</v>
      </c>
      <c r="C7229" s="2">
        <f>HYPERLINK("https://sao.dolgi.msk.ru/account/1404259953/", 1404259953)</f>
        <v>1404259953</v>
      </c>
      <c r="D7229">
        <v>-1225.83</v>
      </c>
    </row>
    <row r="7230" spans="1:4" hidden="1" x14ac:dyDescent="0.25">
      <c r="A7230" t="s">
        <v>678</v>
      </c>
      <c r="B7230" t="s">
        <v>174</v>
      </c>
      <c r="C7230" s="2">
        <f>HYPERLINK("https://sao.dolgi.msk.ru/account/1404258918/", 1404258918)</f>
        <v>1404258918</v>
      </c>
      <c r="D7230">
        <v>0</v>
      </c>
    </row>
    <row r="7231" spans="1:4" x14ac:dyDescent="0.25">
      <c r="A7231" t="s">
        <v>678</v>
      </c>
      <c r="B7231" t="s">
        <v>175</v>
      </c>
      <c r="C7231" s="2">
        <f>HYPERLINK("https://sao.dolgi.msk.ru/account/1404259582/", 1404259582)</f>
        <v>1404259582</v>
      </c>
      <c r="D7231">
        <v>645.61</v>
      </c>
    </row>
    <row r="7232" spans="1:4" x14ac:dyDescent="0.25">
      <c r="A7232" t="s">
        <v>678</v>
      </c>
      <c r="B7232" t="s">
        <v>175</v>
      </c>
      <c r="C7232" s="2">
        <f>HYPERLINK("https://sao.dolgi.msk.ru/account/1404260102/", 1404260102)</f>
        <v>1404260102</v>
      </c>
      <c r="D7232">
        <v>645.61</v>
      </c>
    </row>
    <row r="7233" spans="1:4" hidden="1" x14ac:dyDescent="0.25">
      <c r="A7233" t="s">
        <v>678</v>
      </c>
      <c r="B7233" t="s">
        <v>176</v>
      </c>
      <c r="C7233" s="2">
        <f>HYPERLINK("https://sao.dolgi.msk.ru/account/1404258192/", 1404258192)</f>
        <v>1404258192</v>
      </c>
      <c r="D7233">
        <v>-8106.38</v>
      </c>
    </row>
    <row r="7234" spans="1:4" x14ac:dyDescent="0.25">
      <c r="A7234" t="s">
        <v>678</v>
      </c>
      <c r="B7234" t="s">
        <v>177</v>
      </c>
      <c r="C7234" s="2">
        <f>HYPERLINK("https://sao.dolgi.msk.ru/account/1404260276/", 1404260276)</f>
        <v>1404260276</v>
      </c>
      <c r="D7234">
        <v>26533.17</v>
      </c>
    </row>
    <row r="7235" spans="1:4" hidden="1" x14ac:dyDescent="0.25">
      <c r="A7235" t="s">
        <v>678</v>
      </c>
      <c r="B7235" t="s">
        <v>178</v>
      </c>
      <c r="C7235" s="2">
        <f>HYPERLINK("https://sao.dolgi.msk.ru/account/1404258512/", 1404258512)</f>
        <v>1404258512</v>
      </c>
      <c r="D7235">
        <v>0</v>
      </c>
    </row>
    <row r="7236" spans="1:4" hidden="1" x14ac:dyDescent="0.25">
      <c r="A7236" t="s">
        <v>678</v>
      </c>
      <c r="B7236" t="s">
        <v>179</v>
      </c>
      <c r="C7236" s="2">
        <f>HYPERLINK("https://sao.dolgi.msk.ru/account/1404259371/", 1404259371)</f>
        <v>1404259371</v>
      </c>
      <c r="D7236">
        <v>-6197.69</v>
      </c>
    </row>
    <row r="7237" spans="1:4" hidden="1" x14ac:dyDescent="0.25">
      <c r="A7237" t="s">
        <v>678</v>
      </c>
      <c r="B7237" t="s">
        <v>180</v>
      </c>
      <c r="C7237" s="2">
        <f>HYPERLINK("https://sao.dolgi.msk.ru/account/1404258336/", 1404258336)</f>
        <v>1404258336</v>
      </c>
      <c r="D7237">
        <v>0</v>
      </c>
    </row>
    <row r="7238" spans="1:4" hidden="1" x14ac:dyDescent="0.25">
      <c r="A7238" t="s">
        <v>678</v>
      </c>
      <c r="B7238" t="s">
        <v>181</v>
      </c>
      <c r="C7238" s="2">
        <f>HYPERLINK("https://sao.dolgi.msk.ru/account/1404258205/", 1404258205)</f>
        <v>1404258205</v>
      </c>
      <c r="D7238">
        <v>-8994.1</v>
      </c>
    </row>
    <row r="7239" spans="1:4" hidden="1" x14ac:dyDescent="0.25">
      <c r="A7239" t="s">
        <v>678</v>
      </c>
      <c r="B7239" t="s">
        <v>182</v>
      </c>
      <c r="C7239" s="2">
        <f>HYPERLINK("https://sao.dolgi.msk.ru/account/1404258539/", 1404258539)</f>
        <v>1404258539</v>
      </c>
      <c r="D7239">
        <v>0</v>
      </c>
    </row>
    <row r="7240" spans="1:4" hidden="1" x14ac:dyDescent="0.25">
      <c r="A7240" t="s">
        <v>678</v>
      </c>
      <c r="B7240" t="s">
        <v>183</v>
      </c>
      <c r="C7240" s="2">
        <f>HYPERLINK("https://sao.dolgi.msk.ru/account/1404258213/", 1404258213)</f>
        <v>1404258213</v>
      </c>
      <c r="D7240">
        <v>0</v>
      </c>
    </row>
    <row r="7241" spans="1:4" hidden="1" x14ac:dyDescent="0.25">
      <c r="A7241" t="s">
        <v>678</v>
      </c>
      <c r="B7241" t="s">
        <v>184</v>
      </c>
      <c r="C7241" s="2">
        <f>HYPERLINK("https://sao.dolgi.msk.ru/account/1404258352/", 1404258352)</f>
        <v>1404258352</v>
      </c>
      <c r="D7241">
        <v>-8214.81</v>
      </c>
    </row>
    <row r="7242" spans="1:4" hidden="1" x14ac:dyDescent="0.25">
      <c r="A7242" t="s">
        <v>678</v>
      </c>
      <c r="B7242" t="s">
        <v>185</v>
      </c>
      <c r="C7242" s="2">
        <f>HYPERLINK("https://sao.dolgi.msk.ru/account/1404258221/", 1404258221)</f>
        <v>1404258221</v>
      </c>
      <c r="D7242">
        <v>0</v>
      </c>
    </row>
    <row r="7243" spans="1:4" x14ac:dyDescent="0.25">
      <c r="A7243" t="s">
        <v>678</v>
      </c>
      <c r="B7243" t="s">
        <v>186</v>
      </c>
      <c r="C7243" s="2">
        <f>HYPERLINK("https://sao.dolgi.msk.ru/account/1404259507/", 1404259507)</f>
        <v>1404259507</v>
      </c>
      <c r="D7243">
        <v>100667.79</v>
      </c>
    </row>
    <row r="7244" spans="1:4" hidden="1" x14ac:dyDescent="0.25">
      <c r="A7244" t="s">
        <v>678</v>
      </c>
      <c r="B7244" t="s">
        <v>187</v>
      </c>
      <c r="C7244" s="2">
        <f>HYPERLINK("https://sao.dolgi.msk.ru/account/1404259398/", 1404259398)</f>
        <v>1404259398</v>
      </c>
      <c r="D7244">
        <v>-7571.45</v>
      </c>
    </row>
    <row r="7245" spans="1:4" x14ac:dyDescent="0.25">
      <c r="A7245" t="s">
        <v>678</v>
      </c>
      <c r="B7245" t="s">
        <v>188</v>
      </c>
      <c r="C7245" s="2">
        <f>HYPERLINK("https://sao.dolgi.msk.ru/account/1404259152/", 1404259152)</f>
        <v>1404259152</v>
      </c>
      <c r="D7245">
        <v>20134.419999999998</v>
      </c>
    </row>
    <row r="7246" spans="1:4" hidden="1" x14ac:dyDescent="0.25">
      <c r="A7246" t="s">
        <v>679</v>
      </c>
      <c r="B7246" t="s">
        <v>5</v>
      </c>
      <c r="C7246" s="2">
        <f>HYPERLINK("https://sao.dolgi.msk.ru/account/1404262108/", 1404262108)</f>
        <v>1404262108</v>
      </c>
      <c r="D7246">
        <v>-8497.5300000000007</v>
      </c>
    </row>
    <row r="7247" spans="1:4" x14ac:dyDescent="0.25">
      <c r="A7247" t="s">
        <v>679</v>
      </c>
      <c r="B7247" t="s">
        <v>6</v>
      </c>
      <c r="C7247" s="2">
        <f>HYPERLINK("https://sao.dolgi.msk.ru/account/1404262482/", 1404262482)</f>
        <v>1404262482</v>
      </c>
      <c r="D7247">
        <v>1041.76</v>
      </c>
    </row>
    <row r="7248" spans="1:4" x14ac:dyDescent="0.25">
      <c r="A7248" t="s">
        <v>679</v>
      </c>
      <c r="B7248" t="s">
        <v>7</v>
      </c>
      <c r="C7248" s="2">
        <f>HYPERLINK("https://sao.dolgi.msk.ru/account/1404260858/", 1404260858)</f>
        <v>1404260858</v>
      </c>
      <c r="D7248">
        <v>14341.24</v>
      </c>
    </row>
    <row r="7249" spans="1:4" hidden="1" x14ac:dyDescent="0.25">
      <c r="A7249" t="s">
        <v>679</v>
      </c>
      <c r="B7249" t="s">
        <v>8</v>
      </c>
      <c r="C7249" s="2">
        <f>HYPERLINK("https://sao.dolgi.msk.ru/account/1404260452/", 1404260452)</f>
        <v>1404260452</v>
      </c>
      <c r="D7249">
        <v>-9310.65</v>
      </c>
    </row>
    <row r="7250" spans="1:4" hidden="1" x14ac:dyDescent="0.25">
      <c r="A7250" t="s">
        <v>679</v>
      </c>
      <c r="B7250" t="s">
        <v>9</v>
      </c>
      <c r="C7250" s="2">
        <f>HYPERLINK("https://sao.dolgi.msk.ru/account/1404261391/", 1404261391)</f>
        <v>1404261391</v>
      </c>
      <c r="D7250">
        <v>-10681.95</v>
      </c>
    </row>
    <row r="7251" spans="1:4" hidden="1" x14ac:dyDescent="0.25">
      <c r="A7251" t="s">
        <v>679</v>
      </c>
      <c r="B7251" t="s">
        <v>10</v>
      </c>
      <c r="C7251" s="2">
        <f>HYPERLINK("https://sao.dolgi.msk.ru/account/1404262271/", 1404262271)</f>
        <v>1404262271</v>
      </c>
      <c r="D7251">
        <v>-6408.52</v>
      </c>
    </row>
    <row r="7252" spans="1:4" hidden="1" x14ac:dyDescent="0.25">
      <c r="A7252" t="s">
        <v>679</v>
      </c>
      <c r="B7252" t="s">
        <v>11</v>
      </c>
      <c r="C7252" s="2">
        <f>HYPERLINK("https://sao.dolgi.msk.ru/account/1404261594/", 1404261594)</f>
        <v>1404261594</v>
      </c>
      <c r="D7252">
        <v>0</v>
      </c>
    </row>
    <row r="7253" spans="1:4" hidden="1" x14ac:dyDescent="0.25">
      <c r="A7253" t="s">
        <v>679</v>
      </c>
      <c r="B7253" t="s">
        <v>12</v>
      </c>
      <c r="C7253" s="2">
        <f>HYPERLINK("https://sao.dolgi.msk.ru/account/1404261885/", 1404261885)</f>
        <v>1404261885</v>
      </c>
      <c r="D7253">
        <v>-7814.58</v>
      </c>
    </row>
    <row r="7254" spans="1:4" hidden="1" x14ac:dyDescent="0.25">
      <c r="A7254" t="s">
        <v>679</v>
      </c>
      <c r="B7254" t="s">
        <v>13</v>
      </c>
      <c r="C7254" s="2">
        <f>HYPERLINK("https://sao.dolgi.msk.ru/account/1404260639/", 1404260639)</f>
        <v>1404260639</v>
      </c>
      <c r="D7254">
        <v>-10424.91</v>
      </c>
    </row>
    <row r="7255" spans="1:4" hidden="1" x14ac:dyDescent="0.25">
      <c r="A7255" t="s">
        <v>679</v>
      </c>
      <c r="B7255" t="s">
        <v>14</v>
      </c>
      <c r="C7255" s="2">
        <f>HYPERLINK("https://sao.dolgi.msk.ru/account/1404262116/", 1404262116)</f>
        <v>1404262116</v>
      </c>
      <c r="D7255">
        <v>-5584.82</v>
      </c>
    </row>
    <row r="7256" spans="1:4" hidden="1" x14ac:dyDescent="0.25">
      <c r="A7256" t="s">
        <v>679</v>
      </c>
      <c r="B7256" t="s">
        <v>15</v>
      </c>
      <c r="C7256" s="2">
        <f>HYPERLINK("https://sao.dolgi.msk.ru/account/1404260436/", 1404260436)</f>
        <v>1404260436</v>
      </c>
      <c r="D7256">
        <v>-4682.57</v>
      </c>
    </row>
    <row r="7257" spans="1:4" hidden="1" x14ac:dyDescent="0.25">
      <c r="A7257" t="s">
        <v>679</v>
      </c>
      <c r="B7257" t="s">
        <v>16</v>
      </c>
      <c r="C7257" s="2">
        <f>HYPERLINK("https://sao.dolgi.msk.ru/account/1404262079/", 1404262079)</f>
        <v>1404262079</v>
      </c>
      <c r="D7257">
        <v>0</v>
      </c>
    </row>
    <row r="7258" spans="1:4" hidden="1" x14ac:dyDescent="0.25">
      <c r="A7258" t="s">
        <v>679</v>
      </c>
      <c r="B7258" t="s">
        <v>17</v>
      </c>
      <c r="C7258" s="2">
        <f>HYPERLINK("https://sao.dolgi.msk.ru/account/1404261295/", 1404261295)</f>
        <v>1404261295</v>
      </c>
      <c r="D7258">
        <v>-8827.17</v>
      </c>
    </row>
    <row r="7259" spans="1:4" hidden="1" x14ac:dyDescent="0.25">
      <c r="A7259" t="s">
        <v>679</v>
      </c>
      <c r="B7259" t="s">
        <v>18</v>
      </c>
      <c r="C7259" s="2">
        <f>HYPERLINK("https://sao.dolgi.msk.ru/account/1404262757/", 1404262757)</f>
        <v>1404262757</v>
      </c>
      <c r="D7259">
        <v>-4280.93</v>
      </c>
    </row>
    <row r="7260" spans="1:4" hidden="1" x14ac:dyDescent="0.25">
      <c r="A7260" t="s">
        <v>679</v>
      </c>
      <c r="B7260" t="s">
        <v>19</v>
      </c>
      <c r="C7260" s="2">
        <f>HYPERLINK("https://sao.dolgi.msk.ru/account/1404262407/", 1404262407)</f>
        <v>1404262407</v>
      </c>
      <c r="D7260">
        <v>-5134.26</v>
      </c>
    </row>
    <row r="7261" spans="1:4" hidden="1" x14ac:dyDescent="0.25">
      <c r="A7261" t="s">
        <v>679</v>
      </c>
      <c r="B7261" t="s">
        <v>20</v>
      </c>
      <c r="C7261" s="2">
        <f>HYPERLINK("https://sao.dolgi.msk.ru/account/1404261877/", 1404261877)</f>
        <v>1404261877</v>
      </c>
      <c r="D7261">
        <v>-10234.219999999999</v>
      </c>
    </row>
    <row r="7262" spans="1:4" hidden="1" x14ac:dyDescent="0.25">
      <c r="A7262" t="s">
        <v>679</v>
      </c>
      <c r="B7262" t="s">
        <v>21</v>
      </c>
      <c r="C7262" s="2">
        <f>HYPERLINK("https://sao.dolgi.msk.ru/account/1404260807/", 1404260807)</f>
        <v>1404260807</v>
      </c>
      <c r="D7262">
        <v>-8974</v>
      </c>
    </row>
    <row r="7263" spans="1:4" hidden="1" x14ac:dyDescent="0.25">
      <c r="A7263" t="s">
        <v>679</v>
      </c>
      <c r="B7263" t="s">
        <v>22</v>
      </c>
      <c r="C7263" s="2">
        <f>HYPERLINK("https://sao.dolgi.msk.ru/account/1404261973/", 1404261973)</f>
        <v>1404261973</v>
      </c>
      <c r="D7263">
        <v>0</v>
      </c>
    </row>
    <row r="7264" spans="1:4" hidden="1" x14ac:dyDescent="0.25">
      <c r="A7264" t="s">
        <v>679</v>
      </c>
      <c r="B7264" t="s">
        <v>23</v>
      </c>
      <c r="C7264" s="2">
        <f>HYPERLINK("https://sao.dolgi.msk.ru/account/1404262095/", 1404262095)</f>
        <v>1404262095</v>
      </c>
      <c r="D7264">
        <v>0</v>
      </c>
    </row>
    <row r="7265" spans="1:4" hidden="1" x14ac:dyDescent="0.25">
      <c r="A7265" t="s">
        <v>679</v>
      </c>
      <c r="B7265" t="s">
        <v>24</v>
      </c>
      <c r="C7265" s="2">
        <f>HYPERLINK("https://sao.dolgi.msk.ru/account/1404261383/", 1404261383)</f>
        <v>1404261383</v>
      </c>
      <c r="D7265">
        <v>0</v>
      </c>
    </row>
    <row r="7266" spans="1:4" hidden="1" x14ac:dyDescent="0.25">
      <c r="A7266" t="s">
        <v>679</v>
      </c>
      <c r="B7266" t="s">
        <v>25</v>
      </c>
      <c r="C7266" s="2">
        <f>HYPERLINK("https://sao.dolgi.msk.ru/account/1404260524/", 1404260524)</f>
        <v>1404260524</v>
      </c>
      <c r="D7266">
        <v>-9098.81</v>
      </c>
    </row>
    <row r="7267" spans="1:4" hidden="1" x14ac:dyDescent="0.25">
      <c r="A7267" t="s">
        <v>679</v>
      </c>
      <c r="B7267" t="s">
        <v>26</v>
      </c>
      <c r="C7267" s="2">
        <f>HYPERLINK("https://sao.dolgi.msk.ru/account/1404260508/", 1404260508)</f>
        <v>1404260508</v>
      </c>
      <c r="D7267">
        <v>-4402.5200000000004</v>
      </c>
    </row>
    <row r="7268" spans="1:4" hidden="1" x14ac:dyDescent="0.25">
      <c r="A7268" t="s">
        <v>679</v>
      </c>
      <c r="B7268" t="s">
        <v>27</v>
      </c>
      <c r="C7268" s="2">
        <f>HYPERLINK("https://sao.dolgi.msk.ru/account/1404261615/", 1404261615)</f>
        <v>1404261615</v>
      </c>
      <c r="D7268">
        <v>-10855.93</v>
      </c>
    </row>
    <row r="7269" spans="1:4" x14ac:dyDescent="0.25">
      <c r="A7269" t="s">
        <v>679</v>
      </c>
      <c r="B7269" t="s">
        <v>28</v>
      </c>
      <c r="C7269" s="2">
        <f>HYPERLINK("https://sao.dolgi.msk.ru/account/1404261439/", 1404261439)</f>
        <v>1404261439</v>
      </c>
      <c r="D7269">
        <v>10511.87</v>
      </c>
    </row>
    <row r="7270" spans="1:4" x14ac:dyDescent="0.25">
      <c r="A7270" t="s">
        <v>679</v>
      </c>
      <c r="B7270" t="s">
        <v>29</v>
      </c>
      <c r="C7270" s="2">
        <f>HYPERLINK("https://sao.dolgi.msk.ru/account/1404262183/", 1404262183)</f>
        <v>1404262183</v>
      </c>
      <c r="D7270">
        <v>55846.77</v>
      </c>
    </row>
    <row r="7271" spans="1:4" hidden="1" x14ac:dyDescent="0.25">
      <c r="A7271" t="s">
        <v>679</v>
      </c>
      <c r="B7271" t="s">
        <v>30</v>
      </c>
      <c r="C7271" s="2">
        <f>HYPERLINK("https://sao.dolgi.msk.ru/account/1404260823/", 1404260823)</f>
        <v>1404260823</v>
      </c>
      <c r="D7271">
        <v>0</v>
      </c>
    </row>
    <row r="7272" spans="1:4" hidden="1" x14ac:dyDescent="0.25">
      <c r="A7272" t="s">
        <v>679</v>
      </c>
      <c r="B7272" t="s">
        <v>31</v>
      </c>
      <c r="C7272" s="2">
        <f>HYPERLINK("https://sao.dolgi.msk.ru/account/1404261033/", 1404261033)</f>
        <v>1404261033</v>
      </c>
      <c r="D7272">
        <v>-681.17</v>
      </c>
    </row>
    <row r="7273" spans="1:4" x14ac:dyDescent="0.25">
      <c r="A7273" t="s">
        <v>679</v>
      </c>
      <c r="B7273" t="s">
        <v>32</v>
      </c>
      <c r="C7273" s="2">
        <f>HYPERLINK("https://sao.dolgi.msk.ru/account/1404262386/", 1404262386)</f>
        <v>1404262386</v>
      </c>
      <c r="D7273">
        <v>12937.48</v>
      </c>
    </row>
    <row r="7274" spans="1:4" x14ac:dyDescent="0.25">
      <c r="A7274" t="s">
        <v>679</v>
      </c>
      <c r="B7274" t="s">
        <v>33</v>
      </c>
      <c r="C7274" s="2">
        <f>HYPERLINK("https://sao.dolgi.msk.ru/account/1404260831/", 1404260831)</f>
        <v>1404260831</v>
      </c>
      <c r="D7274">
        <v>18528.87</v>
      </c>
    </row>
    <row r="7275" spans="1:4" hidden="1" x14ac:dyDescent="0.25">
      <c r="A7275" t="s">
        <v>679</v>
      </c>
      <c r="B7275" t="s">
        <v>34</v>
      </c>
      <c r="C7275" s="2">
        <f>HYPERLINK("https://sao.dolgi.msk.ru/account/1404261113/", 1404261113)</f>
        <v>1404261113</v>
      </c>
      <c r="D7275">
        <v>0</v>
      </c>
    </row>
    <row r="7276" spans="1:4" hidden="1" x14ac:dyDescent="0.25">
      <c r="A7276" t="s">
        <v>679</v>
      </c>
      <c r="B7276" t="s">
        <v>35</v>
      </c>
      <c r="C7276" s="2">
        <f>HYPERLINK("https://sao.dolgi.msk.ru/account/1404261826/", 1404261826)</f>
        <v>1404261826</v>
      </c>
      <c r="D7276">
        <v>-5509.27</v>
      </c>
    </row>
    <row r="7277" spans="1:4" hidden="1" x14ac:dyDescent="0.25">
      <c r="A7277" t="s">
        <v>679</v>
      </c>
      <c r="B7277" t="s">
        <v>36</v>
      </c>
      <c r="C7277" s="2">
        <f>HYPERLINK("https://sao.dolgi.msk.ru/account/1404261447/", 1404261447)</f>
        <v>1404261447</v>
      </c>
      <c r="D7277">
        <v>-6294.33</v>
      </c>
    </row>
    <row r="7278" spans="1:4" x14ac:dyDescent="0.25">
      <c r="A7278" t="s">
        <v>679</v>
      </c>
      <c r="B7278" t="s">
        <v>37</v>
      </c>
      <c r="C7278" s="2">
        <f>HYPERLINK("https://sao.dolgi.msk.ru/account/1404260727/", 1404260727)</f>
        <v>1404260727</v>
      </c>
      <c r="D7278">
        <v>10277.17</v>
      </c>
    </row>
    <row r="7279" spans="1:4" x14ac:dyDescent="0.25">
      <c r="A7279" t="s">
        <v>679</v>
      </c>
      <c r="B7279" t="s">
        <v>38</v>
      </c>
      <c r="C7279" s="2">
        <f>HYPERLINK("https://sao.dolgi.msk.ru/account/1404260735/", 1404260735)</f>
        <v>1404260735</v>
      </c>
      <c r="D7279">
        <v>33521.75</v>
      </c>
    </row>
    <row r="7280" spans="1:4" hidden="1" x14ac:dyDescent="0.25">
      <c r="A7280" t="s">
        <v>679</v>
      </c>
      <c r="B7280" t="s">
        <v>39</v>
      </c>
      <c r="C7280" s="2">
        <f>HYPERLINK("https://sao.dolgi.msk.ru/account/1404262191/", 1404262191)</f>
        <v>1404262191</v>
      </c>
      <c r="D7280">
        <v>-6759.89</v>
      </c>
    </row>
    <row r="7281" spans="1:4" hidden="1" x14ac:dyDescent="0.25">
      <c r="A7281" t="s">
        <v>679</v>
      </c>
      <c r="B7281" t="s">
        <v>40</v>
      </c>
      <c r="C7281" s="2">
        <f>HYPERLINK("https://sao.dolgi.msk.ru/account/1404261252/", 1404261252)</f>
        <v>1404261252</v>
      </c>
      <c r="D7281">
        <v>-7641.08</v>
      </c>
    </row>
    <row r="7282" spans="1:4" x14ac:dyDescent="0.25">
      <c r="A7282" t="s">
        <v>679</v>
      </c>
      <c r="B7282" t="s">
        <v>41</v>
      </c>
      <c r="C7282" s="2">
        <f>HYPERLINK("https://sao.dolgi.msk.ru/account/1404260997/", 1404260997)</f>
        <v>1404260997</v>
      </c>
      <c r="D7282">
        <v>6819.71</v>
      </c>
    </row>
    <row r="7283" spans="1:4" hidden="1" x14ac:dyDescent="0.25">
      <c r="A7283" t="s">
        <v>679</v>
      </c>
      <c r="B7283" t="s">
        <v>42</v>
      </c>
      <c r="C7283" s="2">
        <f>HYPERLINK("https://sao.dolgi.msk.ru/account/1404261914/", 1404261914)</f>
        <v>1404261914</v>
      </c>
      <c r="D7283">
        <v>0</v>
      </c>
    </row>
    <row r="7284" spans="1:4" hidden="1" x14ac:dyDescent="0.25">
      <c r="A7284" t="s">
        <v>679</v>
      </c>
      <c r="B7284" t="s">
        <v>43</v>
      </c>
      <c r="C7284" s="2">
        <f>HYPERLINK("https://sao.dolgi.msk.ru/account/1404261279/", 1404261279)</f>
        <v>1404261279</v>
      </c>
      <c r="D7284">
        <v>-4315.33</v>
      </c>
    </row>
    <row r="7285" spans="1:4" hidden="1" x14ac:dyDescent="0.25">
      <c r="A7285" t="s">
        <v>679</v>
      </c>
      <c r="B7285" t="s">
        <v>44</v>
      </c>
      <c r="C7285" s="2">
        <f>HYPERLINK("https://sao.dolgi.msk.ru/account/1404261009/", 1404261009)</f>
        <v>1404261009</v>
      </c>
      <c r="D7285">
        <v>0</v>
      </c>
    </row>
    <row r="7286" spans="1:4" hidden="1" x14ac:dyDescent="0.25">
      <c r="A7286" t="s">
        <v>679</v>
      </c>
      <c r="B7286" t="s">
        <v>45</v>
      </c>
      <c r="C7286" s="2">
        <f>HYPERLINK("https://sao.dolgi.msk.ru/account/1404262351/", 1404262351)</f>
        <v>1404262351</v>
      </c>
      <c r="D7286">
        <v>0</v>
      </c>
    </row>
    <row r="7287" spans="1:4" hidden="1" x14ac:dyDescent="0.25">
      <c r="A7287" t="s">
        <v>679</v>
      </c>
      <c r="B7287" t="s">
        <v>46</v>
      </c>
      <c r="C7287" s="2">
        <f>HYPERLINK("https://sao.dolgi.msk.ru/account/1404260794/", 1404260794)</f>
        <v>1404260794</v>
      </c>
      <c r="D7287">
        <v>-3914.3</v>
      </c>
    </row>
    <row r="7288" spans="1:4" hidden="1" x14ac:dyDescent="0.25">
      <c r="A7288" t="s">
        <v>679</v>
      </c>
      <c r="B7288" t="s">
        <v>46</v>
      </c>
      <c r="C7288" s="2">
        <f>HYPERLINK("https://sao.dolgi.msk.ru/account/1404260911/", 1404260911)</f>
        <v>1404260911</v>
      </c>
      <c r="D7288">
        <v>-2614.96</v>
      </c>
    </row>
    <row r="7289" spans="1:4" hidden="1" x14ac:dyDescent="0.25">
      <c r="A7289" t="s">
        <v>679</v>
      </c>
      <c r="B7289" t="s">
        <v>47</v>
      </c>
      <c r="C7289" s="2">
        <f>HYPERLINK("https://sao.dolgi.msk.ru/account/1404262378/", 1404262378)</f>
        <v>1404262378</v>
      </c>
      <c r="D7289">
        <v>0</v>
      </c>
    </row>
    <row r="7290" spans="1:4" hidden="1" x14ac:dyDescent="0.25">
      <c r="A7290" t="s">
        <v>679</v>
      </c>
      <c r="B7290" t="s">
        <v>48</v>
      </c>
      <c r="C7290" s="2">
        <f>HYPERLINK("https://sao.dolgi.msk.ru/account/1404262335/", 1404262335)</f>
        <v>1404262335</v>
      </c>
      <c r="D7290">
        <v>-11997.57</v>
      </c>
    </row>
    <row r="7291" spans="1:4" hidden="1" x14ac:dyDescent="0.25">
      <c r="A7291" t="s">
        <v>679</v>
      </c>
      <c r="B7291" t="s">
        <v>49</v>
      </c>
      <c r="C7291" s="2">
        <f>HYPERLINK("https://sao.dolgi.msk.ru/account/1404261818/", 1404261818)</f>
        <v>1404261818</v>
      </c>
      <c r="D7291">
        <v>-6090.71</v>
      </c>
    </row>
    <row r="7292" spans="1:4" x14ac:dyDescent="0.25">
      <c r="A7292" t="s">
        <v>679</v>
      </c>
      <c r="B7292" t="s">
        <v>50</v>
      </c>
      <c r="C7292" s="2">
        <f>HYPERLINK("https://sao.dolgi.msk.ru/account/1404261148/", 1404261148)</f>
        <v>1404261148</v>
      </c>
      <c r="D7292">
        <v>2918.46</v>
      </c>
    </row>
    <row r="7293" spans="1:4" hidden="1" x14ac:dyDescent="0.25">
      <c r="A7293" t="s">
        <v>679</v>
      </c>
      <c r="B7293" t="s">
        <v>51</v>
      </c>
      <c r="C7293" s="2">
        <f>HYPERLINK("https://sao.dolgi.msk.ru/account/1404262343/", 1404262343)</f>
        <v>1404262343</v>
      </c>
      <c r="D7293">
        <v>-3791.62</v>
      </c>
    </row>
    <row r="7294" spans="1:4" hidden="1" x14ac:dyDescent="0.25">
      <c r="A7294" t="s">
        <v>679</v>
      </c>
      <c r="B7294" t="s">
        <v>52</v>
      </c>
      <c r="C7294" s="2">
        <f>HYPERLINK("https://sao.dolgi.msk.ru/account/1404261762/", 1404261762)</f>
        <v>1404261762</v>
      </c>
      <c r="D7294">
        <v>-5643.46</v>
      </c>
    </row>
    <row r="7295" spans="1:4" x14ac:dyDescent="0.25">
      <c r="A7295" t="s">
        <v>679</v>
      </c>
      <c r="B7295" t="s">
        <v>53</v>
      </c>
      <c r="C7295" s="2">
        <f>HYPERLINK("https://sao.dolgi.msk.ru/account/1404262431/", 1404262431)</f>
        <v>1404262431</v>
      </c>
      <c r="D7295">
        <v>8305.7900000000009</v>
      </c>
    </row>
    <row r="7296" spans="1:4" hidden="1" x14ac:dyDescent="0.25">
      <c r="A7296" t="s">
        <v>679</v>
      </c>
      <c r="B7296" t="s">
        <v>54</v>
      </c>
      <c r="C7296" s="2">
        <f>HYPERLINK("https://sao.dolgi.msk.ru/account/1404261789/", 1404261789)</f>
        <v>1404261789</v>
      </c>
      <c r="D7296">
        <v>-4215.7</v>
      </c>
    </row>
    <row r="7297" spans="1:4" hidden="1" x14ac:dyDescent="0.25">
      <c r="A7297" t="s">
        <v>679</v>
      </c>
      <c r="B7297" t="s">
        <v>55</v>
      </c>
      <c r="C7297" s="2">
        <f>HYPERLINK("https://sao.dolgi.msk.ru/account/1404260479/", 1404260479)</f>
        <v>1404260479</v>
      </c>
      <c r="D7297">
        <v>-3733.43</v>
      </c>
    </row>
    <row r="7298" spans="1:4" x14ac:dyDescent="0.25">
      <c r="A7298" t="s">
        <v>679</v>
      </c>
      <c r="B7298" t="s">
        <v>56</v>
      </c>
      <c r="C7298" s="2">
        <f>HYPERLINK("https://sao.dolgi.msk.ru/account/1404261404/", 1404261404)</f>
        <v>1404261404</v>
      </c>
      <c r="D7298">
        <v>7252.82</v>
      </c>
    </row>
    <row r="7299" spans="1:4" hidden="1" x14ac:dyDescent="0.25">
      <c r="A7299" t="s">
        <v>679</v>
      </c>
      <c r="B7299" t="s">
        <v>57</v>
      </c>
      <c r="C7299" s="2">
        <f>HYPERLINK("https://sao.dolgi.msk.ru/account/1404262124/", 1404262124)</f>
        <v>1404262124</v>
      </c>
      <c r="D7299">
        <v>-6526.05</v>
      </c>
    </row>
    <row r="7300" spans="1:4" hidden="1" x14ac:dyDescent="0.25">
      <c r="A7300" t="s">
        <v>679</v>
      </c>
      <c r="B7300" t="s">
        <v>58</v>
      </c>
      <c r="C7300" s="2">
        <f>HYPERLINK("https://sao.dolgi.msk.ru/account/1404261949/", 1404261949)</f>
        <v>1404261949</v>
      </c>
      <c r="D7300">
        <v>-3944.71</v>
      </c>
    </row>
    <row r="7301" spans="1:4" hidden="1" x14ac:dyDescent="0.25">
      <c r="A7301" t="s">
        <v>679</v>
      </c>
      <c r="B7301" t="s">
        <v>59</v>
      </c>
      <c r="C7301" s="2">
        <f>HYPERLINK("https://sao.dolgi.msk.ru/account/1404261957/", 1404261957)</f>
        <v>1404261957</v>
      </c>
      <c r="D7301">
        <v>-8408.0300000000007</v>
      </c>
    </row>
    <row r="7302" spans="1:4" hidden="1" x14ac:dyDescent="0.25">
      <c r="A7302" t="s">
        <v>679</v>
      </c>
      <c r="B7302" t="s">
        <v>60</v>
      </c>
      <c r="C7302" s="2">
        <f>HYPERLINK("https://sao.dolgi.msk.ru/account/1404261308/", 1404261308)</f>
        <v>1404261308</v>
      </c>
      <c r="D7302">
        <v>-5703.53</v>
      </c>
    </row>
    <row r="7303" spans="1:4" x14ac:dyDescent="0.25">
      <c r="A7303" t="s">
        <v>679</v>
      </c>
      <c r="B7303" t="s">
        <v>61</v>
      </c>
      <c r="C7303" s="2">
        <f>HYPERLINK("https://sao.dolgi.msk.ru/account/1404261316/", 1404261316)</f>
        <v>1404261316</v>
      </c>
      <c r="D7303">
        <v>14052.04</v>
      </c>
    </row>
    <row r="7304" spans="1:4" x14ac:dyDescent="0.25">
      <c r="A7304" t="s">
        <v>679</v>
      </c>
      <c r="B7304" t="s">
        <v>62</v>
      </c>
      <c r="C7304" s="2">
        <f>HYPERLINK("https://sao.dolgi.msk.ru/account/1404260743/", 1404260743)</f>
        <v>1404260743</v>
      </c>
      <c r="D7304">
        <v>611.57000000000005</v>
      </c>
    </row>
    <row r="7305" spans="1:4" hidden="1" x14ac:dyDescent="0.25">
      <c r="A7305" t="s">
        <v>679</v>
      </c>
      <c r="B7305" t="s">
        <v>63</v>
      </c>
      <c r="C7305" s="2">
        <f>HYPERLINK("https://sao.dolgi.msk.ru/account/1404261412/", 1404261412)</f>
        <v>1404261412</v>
      </c>
      <c r="D7305">
        <v>-7872.32</v>
      </c>
    </row>
    <row r="7306" spans="1:4" hidden="1" x14ac:dyDescent="0.25">
      <c r="A7306" t="s">
        <v>679</v>
      </c>
      <c r="B7306" t="s">
        <v>64</v>
      </c>
      <c r="C7306" s="2">
        <f>HYPERLINK("https://sao.dolgi.msk.ru/account/1404260487/", 1404260487)</f>
        <v>1404260487</v>
      </c>
      <c r="D7306">
        <v>0</v>
      </c>
    </row>
    <row r="7307" spans="1:4" x14ac:dyDescent="0.25">
      <c r="A7307" t="s">
        <v>679</v>
      </c>
      <c r="B7307" t="s">
        <v>65</v>
      </c>
      <c r="C7307" s="2">
        <f>HYPERLINK("https://sao.dolgi.msk.ru/account/1404261965/", 1404261965)</f>
        <v>1404261965</v>
      </c>
      <c r="D7307">
        <v>20835.560000000001</v>
      </c>
    </row>
    <row r="7308" spans="1:4" hidden="1" x14ac:dyDescent="0.25">
      <c r="A7308" t="s">
        <v>679</v>
      </c>
      <c r="B7308" t="s">
        <v>66</v>
      </c>
      <c r="C7308" s="2">
        <f>HYPERLINK("https://sao.dolgi.msk.ru/account/1404262132/", 1404262132)</f>
        <v>1404262132</v>
      </c>
      <c r="D7308">
        <v>-15244.14</v>
      </c>
    </row>
    <row r="7309" spans="1:4" x14ac:dyDescent="0.25">
      <c r="A7309" t="s">
        <v>679</v>
      </c>
      <c r="B7309" t="s">
        <v>67</v>
      </c>
      <c r="C7309" s="2">
        <f>HYPERLINK("https://sao.dolgi.msk.ru/account/1404262159/", 1404262159)</f>
        <v>1404262159</v>
      </c>
      <c r="D7309">
        <v>3244.96</v>
      </c>
    </row>
    <row r="7310" spans="1:4" x14ac:dyDescent="0.25">
      <c r="A7310" t="s">
        <v>679</v>
      </c>
      <c r="B7310" t="s">
        <v>68</v>
      </c>
      <c r="C7310" s="2">
        <f>HYPERLINK("https://sao.dolgi.msk.ru/account/1404260815/", 1404260815)</f>
        <v>1404260815</v>
      </c>
      <c r="D7310">
        <v>16001.08</v>
      </c>
    </row>
    <row r="7311" spans="1:4" hidden="1" x14ac:dyDescent="0.25">
      <c r="A7311" t="s">
        <v>679</v>
      </c>
      <c r="B7311" t="s">
        <v>69</v>
      </c>
      <c r="C7311" s="2">
        <f>HYPERLINK("https://sao.dolgi.msk.ru/account/1404262167/", 1404262167)</f>
        <v>1404262167</v>
      </c>
      <c r="D7311">
        <v>-5874.37</v>
      </c>
    </row>
    <row r="7312" spans="1:4" hidden="1" x14ac:dyDescent="0.25">
      <c r="A7312" t="s">
        <v>679</v>
      </c>
      <c r="B7312" t="s">
        <v>70</v>
      </c>
      <c r="C7312" s="2">
        <f>HYPERLINK("https://sao.dolgi.msk.ru/account/1404262562/", 1404262562)</f>
        <v>1404262562</v>
      </c>
      <c r="D7312">
        <v>-6062.48</v>
      </c>
    </row>
    <row r="7313" spans="1:4" hidden="1" x14ac:dyDescent="0.25">
      <c r="A7313" t="s">
        <v>679</v>
      </c>
      <c r="B7313" t="s">
        <v>71</v>
      </c>
      <c r="C7313" s="2">
        <f>HYPERLINK("https://sao.dolgi.msk.ru/account/1404260575/", 1404260575)</f>
        <v>1404260575</v>
      </c>
      <c r="D7313">
        <v>-3910.79</v>
      </c>
    </row>
    <row r="7314" spans="1:4" hidden="1" x14ac:dyDescent="0.25">
      <c r="A7314" t="s">
        <v>679</v>
      </c>
      <c r="B7314" t="s">
        <v>72</v>
      </c>
      <c r="C7314" s="2">
        <f>HYPERLINK("https://sao.dolgi.msk.ru/account/1404261922/", 1404261922)</f>
        <v>1404261922</v>
      </c>
      <c r="D7314">
        <v>-8044.14</v>
      </c>
    </row>
    <row r="7315" spans="1:4" hidden="1" x14ac:dyDescent="0.25">
      <c r="A7315" t="s">
        <v>679</v>
      </c>
      <c r="B7315" t="s">
        <v>73</v>
      </c>
      <c r="C7315" s="2">
        <f>HYPERLINK("https://sao.dolgi.msk.ru/account/1404262503/", 1404262503)</f>
        <v>1404262503</v>
      </c>
      <c r="D7315">
        <v>-7160.97</v>
      </c>
    </row>
    <row r="7316" spans="1:4" hidden="1" x14ac:dyDescent="0.25">
      <c r="A7316" t="s">
        <v>679</v>
      </c>
      <c r="B7316" t="s">
        <v>74</v>
      </c>
      <c r="C7316" s="2">
        <f>HYPERLINK("https://sao.dolgi.msk.ru/account/1404261607/", 1404261607)</f>
        <v>1404261607</v>
      </c>
      <c r="D7316">
        <v>0</v>
      </c>
    </row>
    <row r="7317" spans="1:4" hidden="1" x14ac:dyDescent="0.25">
      <c r="A7317" t="s">
        <v>679</v>
      </c>
      <c r="B7317" t="s">
        <v>75</v>
      </c>
      <c r="C7317" s="2">
        <f>HYPERLINK("https://sao.dolgi.msk.ru/account/1404261287/", 1404261287)</f>
        <v>1404261287</v>
      </c>
      <c r="D7317">
        <v>-4090.39</v>
      </c>
    </row>
    <row r="7318" spans="1:4" hidden="1" x14ac:dyDescent="0.25">
      <c r="A7318" t="s">
        <v>679</v>
      </c>
      <c r="B7318" t="s">
        <v>76</v>
      </c>
      <c r="C7318" s="2">
        <f>HYPERLINK("https://sao.dolgi.msk.ru/account/1404262511/", 1404262511)</f>
        <v>1404262511</v>
      </c>
      <c r="D7318">
        <v>-8281.3700000000008</v>
      </c>
    </row>
    <row r="7319" spans="1:4" hidden="1" x14ac:dyDescent="0.25">
      <c r="A7319" t="s">
        <v>679</v>
      </c>
      <c r="B7319" t="s">
        <v>76</v>
      </c>
      <c r="C7319" s="2">
        <f>HYPERLINK("https://sao.dolgi.msk.ru/account/1404294185/", 1404294185)</f>
        <v>1404294185</v>
      </c>
      <c r="D7319">
        <v>0</v>
      </c>
    </row>
    <row r="7320" spans="1:4" hidden="1" x14ac:dyDescent="0.25">
      <c r="A7320" t="s">
        <v>679</v>
      </c>
      <c r="B7320" t="s">
        <v>77</v>
      </c>
      <c r="C7320" s="2">
        <f>HYPERLINK("https://sao.dolgi.msk.ru/account/1404262175/", 1404262175)</f>
        <v>1404262175</v>
      </c>
      <c r="D7320">
        <v>0</v>
      </c>
    </row>
    <row r="7321" spans="1:4" x14ac:dyDescent="0.25">
      <c r="A7321" t="s">
        <v>679</v>
      </c>
      <c r="B7321" t="s">
        <v>78</v>
      </c>
      <c r="C7321" s="2">
        <f>HYPERLINK("https://sao.dolgi.msk.ru/account/1404260559/", 1404260559)</f>
        <v>1404260559</v>
      </c>
      <c r="D7321">
        <v>21904.33</v>
      </c>
    </row>
    <row r="7322" spans="1:4" hidden="1" x14ac:dyDescent="0.25">
      <c r="A7322" t="s">
        <v>679</v>
      </c>
      <c r="B7322" t="s">
        <v>79</v>
      </c>
      <c r="C7322" s="2">
        <f>HYPERLINK("https://sao.dolgi.msk.ru/account/1404261164/", 1404261164)</f>
        <v>1404261164</v>
      </c>
      <c r="D7322">
        <v>-6247.64</v>
      </c>
    </row>
    <row r="7323" spans="1:4" hidden="1" x14ac:dyDescent="0.25">
      <c r="A7323" t="s">
        <v>679</v>
      </c>
      <c r="B7323" t="s">
        <v>80</v>
      </c>
      <c r="C7323" s="2">
        <f>HYPERLINK("https://sao.dolgi.msk.ru/account/1404262423/", 1404262423)</f>
        <v>1404262423</v>
      </c>
      <c r="D7323">
        <v>-6524.85</v>
      </c>
    </row>
    <row r="7324" spans="1:4" x14ac:dyDescent="0.25">
      <c r="A7324" t="s">
        <v>679</v>
      </c>
      <c r="B7324" t="s">
        <v>81</v>
      </c>
      <c r="C7324" s="2">
        <f>HYPERLINK("https://sao.dolgi.msk.ru/account/1404260903/", 1404260903)</f>
        <v>1404260903</v>
      </c>
      <c r="D7324">
        <v>26230.240000000002</v>
      </c>
    </row>
    <row r="7325" spans="1:4" x14ac:dyDescent="0.25">
      <c r="A7325" t="s">
        <v>679</v>
      </c>
      <c r="B7325" t="s">
        <v>82</v>
      </c>
      <c r="C7325" s="2">
        <f>HYPERLINK("https://sao.dolgi.msk.ru/account/1404261244/", 1404261244)</f>
        <v>1404261244</v>
      </c>
      <c r="D7325">
        <v>22631.599999999999</v>
      </c>
    </row>
    <row r="7326" spans="1:4" hidden="1" x14ac:dyDescent="0.25">
      <c r="A7326" t="s">
        <v>679</v>
      </c>
      <c r="B7326" t="s">
        <v>83</v>
      </c>
      <c r="C7326" s="2">
        <f>HYPERLINK("https://sao.dolgi.msk.ru/account/1404261543/", 1404261543)</f>
        <v>1404261543</v>
      </c>
      <c r="D7326">
        <v>-7306.8</v>
      </c>
    </row>
    <row r="7327" spans="1:4" hidden="1" x14ac:dyDescent="0.25">
      <c r="A7327" t="s">
        <v>679</v>
      </c>
      <c r="B7327" t="s">
        <v>84</v>
      </c>
      <c r="C7327" s="2">
        <f>HYPERLINK("https://sao.dolgi.msk.ru/account/1404262474/", 1404262474)</f>
        <v>1404262474</v>
      </c>
      <c r="D7327">
        <v>-9190.9599999999991</v>
      </c>
    </row>
    <row r="7328" spans="1:4" hidden="1" x14ac:dyDescent="0.25">
      <c r="A7328" t="s">
        <v>679</v>
      </c>
      <c r="B7328" t="s">
        <v>85</v>
      </c>
      <c r="C7328" s="2">
        <f>HYPERLINK("https://sao.dolgi.msk.ru/account/1404260612/", 1404260612)</f>
        <v>1404260612</v>
      </c>
      <c r="D7328">
        <v>-13041.3</v>
      </c>
    </row>
    <row r="7329" spans="1:4" hidden="1" x14ac:dyDescent="0.25">
      <c r="A7329" t="s">
        <v>679</v>
      </c>
      <c r="B7329" t="s">
        <v>86</v>
      </c>
      <c r="C7329" s="2">
        <f>HYPERLINK("https://sao.dolgi.msk.ru/account/1404261893/", 1404261893)</f>
        <v>1404261893</v>
      </c>
      <c r="D7329">
        <v>-6517.53</v>
      </c>
    </row>
    <row r="7330" spans="1:4" hidden="1" x14ac:dyDescent="0.25">
      <c r="A7330" t="s">
        <v>679</v>
      </c>
      <c r="B7330" t="s">
        <v>87</v>
      </c>
      <c r="C7330" s="2">
        <f>HYPERLINK("https://sao.dolgi.msk.ru/account/1404261551/", 1404261551)</f>
        <v>1404261551</v>
      </c>
      <c r="D7330">
        <v>-5873.64</v>
      </c>
    </row>
    <row r="7331" spans="1:4" hidden="1" x14ac:dyDescent="0.25">
      <c r="A7331" t="s">
        <v>679</v>
      </c>
      <c r="B7331" t="s">
        <v>88</v>
      </c>
      <c r="C7331" s="2">
        <f>HYPERLINK("https://sao.dolgi.msk.ru/account/1404262765/", 1404262765)</f>
        <v>1404262765</v>
      </c>
      <c r="D7331">
        <v>-8746.52</v>
      </c>
    </row>
    <row r="7332" spans="1:4" x14ac:dyDescent="0.25">
      <c r="A7332" t="s">
        <v>679</v>
      </c>
      <c r="B7332" t="s">
        <v>89</v>
      </c>
      <c r="C7332" s="2">
        <f>HYPERLINK("https://sao.dolgi.msk.ru/account/1404261324/", 1404261324)</f>
        <v>1404261324</v>
      </c>
      <c r="D7332">
        <v>3577.16</v>
      </c>
    </row>
    <row r="7333" spans="1:4" x14ac:dyDescent="0.25">
      <c r="A7333" t="s">
        <v>679</v>
      </c>
      <c r="B7333" t="s">
        <v>90</v>
      </c>
      <c r="C7333" s="2">
        <f>HYPERLINK("https://sao.dolgi.msk.ru/account/1404261906/", 1404261906)</f>
        <v>1404261906</v>
      </c>
      <c r="D7333">
        <v>61335.1</v>
      </c>
    </row>
    <row r="7334" spans="1:4" hidden="1" x14ac:dyDescent="0.25">
      <c r="A7334" t="s">
        <v>679</v>
      </c>
      <c r="B7334" t="s">
        <v>91</v>
      </c>
      <c r="C7334" s="2">
        <f>HYPERLINK("https://sao.dolgi.msk.ru/account/1404262589/", 1404262589)</f>
        <v>1404262589</v>
      </c>
      <c r="D7334">
        <v>-3889.73</v>
      </c>
    </row>
    <row r="7335" spans="1:4" hidden="1" x14ac:dyDescent="0.25">
      <c r="A7335" t="s">
        <v>679</v>
      </c>
      <c r="B7335" t="s">
        <v>92</v>
      </c>
      <c r="C7335" s="2">
        <f>HYPERLINK("https://sao.dolgi.msk.ru/account/1404261332/", 1404261332)</f>
        <v>1404261332</v>
      </c>
      <c r="D7335">
        <v>-9474.09</v>
      </c>
    </row>
    <row r="7336" spans="1:4" hidden="1" x14ac:dyDescent="0.25">
      <c r="A7336" t="s">
        <v>679</v>
      </c>
      <c r="B7336" t="s">
        <v>93</v>
      </c>
      <c r="C7336" s="2">
        <f>HYPERLINK("https://sao.dolgi.msk.ru/account/1404260495/", 1404260495)</f>
        <v>1404260495</v>
      </c>
      <c r="D7336">
        <v>0</v>
      </c>
    </row>
    <row r="7337" spans="1:4" x14ac:dyDescent="0.25">
      <c r="A7337" t="s">
        <v>679</v>
      </c>
      <c r="B7337" t="s">
        <v>94</v>
      </c>
      <c r="C7337" s="2">
        <f>HYPERLINK("https://sao.dolgi.msk.ru/account/1404261041/", 1404261041)</f>
        <v>1404261041</v>
      </c>
      <c r="D7337">
        <v>19200.919999999998</v>
      </c>
    </row>
    <row r="7338" spans="1:4" hidden="1" x14ac:dyDescent="0.25">
      <c r="A7338" t="s">
        <v>679</v>
      </c>
      <c r="B7338" t="s">
        <v>95</v>
      </c>
      <c r="C7338" s="2">
        <f>HYPERLINK("https://sao.dolgi.msk.ru/account/1404261068/", 1404261068)</f>
        <v>1404261068</v>
      </c>
      <c r="D7338">
        <v>0</v>
      </c>
    </row>
    <row r="7339" spans="1:4" hidden="1" x14ac:dyDescent="0.25">
      <c r="A7339" t="s">
        <v>679</v>
      </c>
      <c r="B7339" t="s">
        <v>96</v>
      </c>
      <c r="C7339" s="2">
        <f>HYPERLINK("https://sao.dolgi.msk.ru/account/1404260647/", 1404260647)</f>
        <v>1404260647</v>
      </c>
      <c r="D7339">
        <v>0</v>
      </c>
    </row>
    <row r="7340" spans="1:4" hidden="1" x14ac:dyDescent="0.25">
      <c r="A7340" t="s">
        <v>679</v>
      </c>
      <c r="B7340" t="s">
        <v>97</v>
      </c>
      <c r="C7340" s="2">
        <f>HYPERLINK("https://sao.dolgi.msk.ru/account/1404260671/", 1404260671)</f>
        <v>1404260671</v>
      </c>
      <c r="D7340">
        <v>-9219.5</v>
      </c>
    </row>
    <row r="7341" spans="1:4" hidden="1" x14ac:dyDescent="0.25">
      <c r="A7341" t="s">
        <v>679</v>
      </c>
      <c r="B7341" t="s">
        <v>98</v>
      </c>
      <c r="C7341" s="2">
        <f>HYPERLINK("https://sao.dolgi.msk.ru/account/1404261578/", 1404261578)</f>
        <v>1404261578</v>
      </c>
      <c r="D7341">
        <v>-4532.91</v>
      </c>
    </row>
    <row r="7342" spans="1:4" x14ac:dyDescent="0.25">
      <c r="A7342" t="s">
        <v>679</v>
      </c>
      <c r="B7342" t="s">
        <v>99</v>
      </c>
      <c r="C7342" s="2">
        <f>HYPERLINK("https://sao.dolgi.msk.ru/account/1404260655/", 1404260655)</f>
        <v>1404260655</v>
      </c>
      <c r="D7342">
        <v>5551.65</v>
      </c>
    </row>
    <row r="7343" spans="1:4" x14ac:dyDescent="0.25">
      <c r="A7343" t="s">
        <v>679</v>
      </c>
      <c r="B7343" t="s">
        <v>100</v>
      </c>
      <c r="C7343" s="2">
        <f>HYPERLINK("https://sao.dolgi.msk.ru/account/1404260663/", 1404260663)</f>
        <v>1404260663</v>
      </c>
      <c r="D7343">
        <v>15830.32</v>
      </c>
    </row>
    <row r="7344" spans="1:4" hidden="1" x14ac:dyDescent="0.25">
      <c r="A7344" t="s">
        <v>679</v>
      </c>
      <c r="B7344" t="s">
        <v>101</v>
      </c>
      <c r="C7344" s="2">
        <f>HYPERLINK("https://sao.dolgi.msk.ru/account/1404260989/", 1404260989)</f>
        <v>1404260989</v>
      </c>
      <c r="D7344">
        <v>-9472.08</v>
      </c>
    </row>
    <row r="7345" spans="1:4" x14ac:dyDescent="0.25">
      <c r="A7345" t="s">
        <v>679</v>
      </c>
      <c r="B7345" t="s">
        <v>102</v>
      </c>
      <c r="C7345" s="2">
        <f>HYPERLINK("https://sao.dolgi.msk.ru/account/1404262247/", 1404262247)</f>
        <v>1404262247</v>
      </c>
      <c r="D7345">
        <v>335.55</v>
      </c>
    </row>
    <row r="7346" spans="1:4" hidden="1" x14ac:dyDescent="0.25">
      <c r="A7346" t="s">
        <v>679</v>
      </c>
      <c r="B7346" t="s">
        <v>103</v>
      </c>
      <c r="C7346" s="2">
        <f>HYPERLINK("https://sao.dolgi.msk.ru/account/1404260604/", 1404260604)</f>
        <v>1404260604</v>
      </c>
      <c r="D7346">
        <v>-4739.63</v>
      </c>
    </row>
    <row r="7347" spans="1:4" hidden="1" x14ac:dyDescent="0.25">
      <c r="A7347" t="s">
        <v>679</v>
      </c>
      <c r="B7347" t="s">
        <v>104</v>
      </c>
      <c r="C7347" s="2">
        <f>HYPERLINK("https://sao.dolgi.msk.ru/account/1404261084/", 1404261084)</f>
        <v>1404261084</v>
      </c>
      <c r="D7347">
        <v>0</v>
      </c>
    </row>
    <row r="7348" spans="1:4" hidden="1" x14ac:dyDescent="0.25">
      <c r="A7348" t="s">
        <v>679</v>
      </c>
      <c r="B7348" t="s">
        <v>105</v>
      </c>
      <c r="C7348" s="2">
        <f>HYPERLINK("https://sao.dolgi.msk.ru/account/1404262255/", 1404262255)</f>
        <v>1404262255</v>
      </c>
      <c r="D7348">
        <v>-8549.7999999999993</v>
      </c>
    </row>
    <row r="7349" spans="1:4" hidden="1" x14ac:dyDescent="0.25">
      <c r="A7349" t="s">
        <v>679</v>
      </c>
      <c r="B7349" t="s">
        <v>106</v>
      </c>
      <c r="C7349" s="2">
        <f>HYPERLINK("https://sao.dolgi.msk.ru/account/1404261631/", 1404261631)</f>
        <v>1404261631</v>
      </c>
      <c r="D7349">
        <v>-6530.03</v>
      </c>
    </row>
    <row r="7350" spans="1:4" hidden="1" x14ac:dyDescent="0.25">
      <c r="A7350" t="s">
        <v>679</v>
      </c>
      <c r="B7350" t="s">
        <v>107</v>
      </c>
      <c r="C7350" s="2">
        <f>HYPERLINK("https://sao.dolgi.msk.ru/account/1404262642/", 1404262642)</f>
        <v>1404262642</v>
      </c>
      <c r="D7350">
        <v>0</v>
      </c>
    </row>
    <row r="7351" spans="1:4" x14ac:dyDescent="0.25">
      <c r="A7351" t="s">
        <v>679</v>
      </c>
      <c r="B7351" t="s">
        <v>108</v>
      </c>
      <c r="C7351" s="2">
        <f>HYPERLINK("https://sao.dolgi.msk.ru/account/1404261519/", 1404261519)</f>
        <v>1404261519</v>
      </c>
      <c r="D7351">
        <v>7432.4</v>
      </c>
    </row>
    <row r="7352" spans="1:4" x14ac:dyDescent="0.25">
      <c r="A7352" t="s">
        <v>679</v>
      </c>
      <c r="B7352" t="s">
        <v>108</v>
      </c>
      <c r="C7352" s="2">
        <f>HYPERLINK("https://sao.dolgi.msk.ru/account/1404262298/", 1404262298)</f>
        <v>1404262298</v>
      </c>
      <c r="D7352">
        <v>8984.06</v>
      </c>
    </row>
    <row r="7353" spans="1:4" x14ac:dyDescent="0.25">
      <c r="A7353" t="s">
        <v>679</v>
      </c>
      <c r="B7353" t="s">
        <v>109</v>
      </c>
      <c r="C7353" s="2">
        <f>HYPERLINK("https://sao.dolgi.msk.ru/account/1404261025/", 1404261025)</f>
        <v>1404261025</v>
      </c>
      <c r="D7353">
        <v>10464.18</v>
      </c>
    </row>
    <row r="7354" spans="1:4" hidden="1" x14ac:dyDescent="0.25">
      <c r="A7354" t="s">
        <v>679</v>
      </c>
      <c r="B7354" t="s">
        <v>110</v>
      </c>
      <c r="C7354" s="2">
        <f>HYPERLINK("https://sao.dolgi.msk.ru/account/1404261658/", 1404261658)</f>
        <v>1404261658</v>
      </c>
      <c r="D7354">
        <v>-393.93</v>
      </c>
    </row>
    <row r="7355" spans="1:4" x14ac:dyDescent="0.25">
      <c r="A7355" t="s">
        <v>679</v>
      </c>
      <c r="B7355" t="s">
        <v>111</v>
      </c>
      <c r="C7355" s="2">
        <f>HYPERLINK("https://sao.dolgi.msk.ru/account/1404261666/", 1404261666)</f>
        <v>1404261666</v>
      </c>
      <c r="D7355">
        <v>1349.41</v>
      </c>
    </row>
    <row r="7356" spans="1:4" hidden="1" x14ac:dyDescent="0.25">
      <c r="A7356" t="s">
        <v>679</v>
      </c>
      <c r="B7356" t="s">
        <v>112</v>
      </c>
      <c r="C7356" s="2">
        <f>HYPERLINK("https://sao.dolgi.msk.ru/account/1404261674/", 1404261674)</f>
        <v>1404261674</v>
      </c>
      <c r="D7356">
        <v>0</v>
      </c>
    </row>
    <row r="7357" spans="1:4" hidden="1" x14ac:dyDescent="0.25">
      <c r="A7357" t="s">
        <v>679</v>
      </c>
      <c r="B7357" t="s">
        <v>113</v>
      </c>
      <c r="C7357" s="2">
        <f>HYPERLINK("https://sao.dolgi.msk.ru/account/1404262538/", 1404262538)</f>
        <v>1404262538</v>
      </c>
      <c r="D7357">
        <v>-7274.2</v>
      </c>
    </row>
    <row r="7358" spans="1:4" x14ac:dyDescent="0.25">
      <c r="A7358" t="s">
        <v>679</v>
      </c>
      <c r="B7358" t="s">
        <v>114</v>
      </c>
      <c r="C7358" s="2">
        <f>HYPERLINK("https://sao.dolgi.msk.ru/account/1404261682/", 1404261682)</f>
        <v>1404261682</v>
      </c>
      <c r="D7358">
        <v>22919.72</v>
      </c>
    </row>
    <row r="7359" spans="1:4" hidden="1" x14ac:dyDescent="0.25">
      <c r="A7359" t="s">
        <v>679</v>
      </c>
      <c r="B7359" t="s">
        <v>115</v>
      </c>
      <c r="C7359" s="2">
        <f>HYPERLINK("https://sao.dolgi.msk.ru/account/1404260516/", 1404260516)</f>
        <v>1404260516</v>
      </c>
      <c r="D7359">
        <v>-1293.6300000000001</v>
      </c>
    </row>
    <row r="7360" spans="1:4" hidden="1" x14ac:dyDescent="0.25">
      <c r="A7360" t="s">
        <v>679</v>
      </c>
      <c r="B7360" t="s">
        <v>116</v>
      </c>
      <c r="C7360" s="2">
        <f>HYPERLINK("https://sao.dolgi.msk.ru/account/1404262044/", 1404262044)</f>
        <v>1404262044</v>
      </c>
      <c r="D7360">
        <v>-13902.32</v>
      </c>
    </row>
    <row r="7361" spans="1:4" hidden="1" x14ac:dyDescent="0.25">
      <c r="A7361" t="s">
        <v>679</v>
      </c>
      <c r="B7361" t="s">
        <v>117</v>
      </c>
      <c r="C7361" s="2">
        <f>HYPERLINK("https://sao.dolgi.msk.ru/account/1404260719/", 1404260719)</f>
        <v>1404260719</v>
      </c>
      <c r="D7361">
        <v>-4300.79</v>
      </c>
    </row>
    <row r="7362" spans="1:4" x14ac:dyDescent="0.25">
      <c r="A7362" t="s">
        <v>679</v>
      </c>
      <c r="B7362" t="s">
        <v>118</v>
      </c>
      <c r="C7362" s="2">
        <f>HYPERLINK("https://sao.dolgi.msk.ru/account/1404261375/", 1404261375)</f>
        <v>1404261375</v>
      </c>
      <c r="D7362">
        <v>2529.5300000000002</v>
      </c>
    </row>
    <row r="7363" spans="1:4" x14ac:dyDescent="0.25">
      <c r="A7363" t="s">
        <v>679</v>
      </c>
      <c r="B7363" t="s">
        <v>119</v>
      </c>
      <c r="C7363" s="2">
        <f>HYPERLINK("https://sao.dolgi.msk.ru/account/1404261703/", 1404261703)</f>
        <v>1404261703</v>
      </c>
      <c r="D7363">
        <v>9702.2099999999991</v>
      </c>
    </row>
    <row r="7364" spans="1:4" hidden="1" x14ac:dyDescent="0.25">
      <c r="A7364" t="s">
        <v>679</v>
      </c>
      <c r="B7364" t="s">
        <v>120</v>
      </c>
      <c r="C7364" s="2">
        <f>HYPERLINK("https://sao.dolgi.msk.ru/account/1404262546/", 1404262546)</f>
        <v>1404262546</v>
      </c>
      <c r="D7364">
        <v>-5483.12</v>
      </c>
    </row>
    <row r="7365" spans="1:4" x14ac:dyDescent="0.25">
      <c r="A7365" t="s">
        <v>679</v>
      </c>
      <c r="B7365" t="s">
        <v>121</v>
      </c>
      <c r="C7365" s="2">
        <f>HYPERLINK("https://sao.dolgi.msk.ru/account/1404261471/", 1404261471)</f>
        <v>1404261471</v>
      </c>
      <c r="D7365">
        <v>56358.47</v>
      </c>
    </row>
    <row r="7366" spans="1:4" hidden="1" x14ac:dyDescent="0.25">
      <c r="A7366" t="s">
        <v>679</v>
      </c>
      <c r="B7366" t="s">
        <v>122</v>
      </c>
      <c r="C7366" s="2">
        <f>HYPERLINK("https://sao.dolgi.msk.ru/account/1404262052/", 1404262052)</f>
        <v>1404262052</v>
      </c>
      <c r="D7366">
        <v>-5215.9799999999996</v>
      </c>
    </row>
    <row r="7367" spans="1:4" x14ac:dyDescent="0.25">
      <c r="A7367" t="s">
        <v>679</v>
      </c>
      <c r="B7367" t="s">
        <v>123</v>
      </c>
      <c r="C7367" s="2">
        <f>HYPERLINK("https://sao.dolgi.msk.ru/account/1404261711/", 1404261711)</f>
        <v>1404261711</v>
      </c>
      <c r="D7367">
        <v>20818.599999999999</v>
      </c>
    </row>
    <row r="7368" spans="1:4" hidden="1" x14ac:dyDescent="0.25">
      <c r="A7368" t="s">
        <v>679</v>
      </c>
      <c r="B7368" t="s">
        <v>124</v>
      </c>
      <c r="C7368" s="2">
        <f>HYPERLINK("https://sao.dolgi.msk.ru/account/1404260938/", 1404260938)</f>
        <v>1404260938</v>
      </c>
      <c r="D7368">
        <v>-3081.96</v>
      </c>
    </row>
    <row r="7369" spans="1:4" hidden="1" x14ac:dyDescent="0.25">
      <c r="A7369" t="s">
        <v>679</v>
      </c>
      <c r="B7369" t="s">
        <v>124</v>
      </c>
      <c r="C7369" s="2">
        <f>HYPERLINK("https://sao.dolgi.msk.ru/account/1404260946/", 1404260946)</f>
        <v>1404260946</v>
      </c>
      <c r="D7369">
        <v>-3289.48</v>
      </c>
    </row>
    <row r="7370" spans="1:4" hidden="1" x14ac:dyDescent="0.25">
      <c r="A7370" t="s">
        <v>679</v>
      </c>
      <c r="B7370" t="s">
        <v>124</v>
      </c>
      <c r="C7370" s="2">
        <f>HYPERLINK("https://sao.dolgi.msk.ru/account/1404262554/", 1404262554)</f>
        <v>1404262554</v>
      </c>
      <c r="D7370">
        <v>0</v>
      </c>
    </row>
    <row r="7371" spans="1:4" x14ac:dyDescent="0.25">
      <c r="A7371" t="s">
        <v>679</v>
      </c>
      <c r="B7371" t="s">
        <v>125</v>
      </c>
      <c r="C7371" s="2">
        <f>HYPERLINK("https://sao.dolgi.msk.ru/account/1404262669/", 1404262669)</f>
        <v>1404262669</v>
      </c>
      <c r="D7371">
        <v>23320.89</v>
      </c>
    </row>
    <row r="7372" spans="1:4" hidden="1" x14ac:dyDescent="0.25">
      <c r="A7372" t="s">
        <v>679</v>
      </c>
      <c r="B7372" t="s">
        <v>126</v>
      </c>
      <c r="C7372" s="2">
        <f>HYPERLINK("https://sao.dolgi.msk.ru/account/1404262263/", 1404262263)</f>
        <v>1404262263</v>
      </c>
      <c r="D7372">
        <v>-2947.81</v>
      </c>
    </row>
    <row r="7373" spans="1:4" hidden="1" x14ac:dyDescent="0.25">
      <c r="A7373" t="s">
        <v>679</v>
      </c>
      <c r="B7373" t="s">
        <v>127</v>
      </c>
      <c r="C7373" s="2">
        <f>HYPERLINK("https://sao.dolgi.msk.ru/account/1404261498/", 1404261498)</f>
        <v>1404261498</v>
      </c>
      <c r="D7373">
        <v>-5223.93</v>
      </c>
    </row>
    <row r="7374" spans="1:4" x14ac:dyDescent="0.25">
      <c r="A7374" t="s">
        <v>679</v>
      </c>
      <c r="B7374" t="s">
        <v>128</v>
      </c>
      <c r="C7374" s="2">
        <f>HYPERLINK("https://sao.dolgi.msk.ru/account/1404261156/", 1404261156)</f>
        <v>1404261156</v>
      </c>
      <c r="D7374">
        <v>2623.3</v>
      </c>
    </row>
    <row r="7375" spans="1:4" hidden="1" x14ac:dyDescent="0.25">
      <c r="A7375" t="s">
        <v>679</v>
      </c>
      <c r="B7375" t="s">
        <v>128</v>
      </c>
      <c r="C7375" s="2">
        <f>HYPERLINK("https://sao.dolgi.msk.ru/account/1404261228/", 1404261228)</f>
        <v>1404261228</v>
      </c>
      <c r="D7375">
        <v>0</v>
      </c>
    </row>
    <row r="7376" spans="1:4" x14ac:dyDescent="0.25">
      <c r="A7376" t="s">
        <v>679</v>
      </c>
      <c r="B7376" t="s">
        <v>129</v>
      </c>
      <c r="C7376" s="2">
        <f>HYPERLINK("https://sao.dolgi.msk.ru/account/1404262597/", 1404262597)</f>
        <v>1404262597</v>
      </c>
      <c r="D7376">
        <v>7531.15</v>
      </c>
    </row>
    <row r="7377" spans="1:4" hidden="1" x14ac:dyDescent="0.25">
      <c r="A7377" t="s">
        <v>679</v>
      </c>
      <c r="B7377" t="s">
        <v>130</v>
      </c>
      <c r="C7377" s="2">
        <f>HYPERLINK("https://sao.dolgi.msk.ru/account/1404260751/", 1404260751)</f>
        <v>1404260751</v>
      </c>
      <c r="D7377">
        <v>0</v>
      </c>
    </row>
    <row r="7378" spans="1:4" hidden="1" x14ac:dyDescent="0.25">
      <c r="A7378" t="s">
        <v>679</v>
      </c>
      <c r="B7378" t="s">
        <v>131</v>
      </c>
      <c r="C7378" s="2">
        <f>HYPERLINK("https://sao.dolgi.msk.ru/account/1404261359/", 1404261359)</f>
        <v>1404261359</v>
      </c>
      <c r="D7378">
        <v>0</v>
      </c>
    </row>
    <row r="7379" spans="1:4" x14ac:dyDescent="0.25">
      <c r="A7379" t="s">
        <v>679</v>
      </c>
      <c r="B7379" t="s">
        <v>132</v>
      </c>
      <c r="C7379" s="2">
        <f>HYPERLINK("https://sao.dolgi.msk.ru/account/1404261367/", 1404261367)</f>
        <v>1404261367</v>
      </c>
      <c r="D7379">
        <v>1356.26</v>
      </c>
    </row>
    <row r="7380" spans="1:4" hidden="1" x14ac:dyDescent="0.25">
      <c r="A7380" t="s">
        <v>679</v>
      </c>
      <c r="B7380" t="s">
        <v>133</v>
      </c>
      <c r="C7380" s="2">
        <f>HYPERLINK("https://sao.dolgi.msk.ru/account/1404260778/", 1404260778)</f>
        <v>1404260778</v>
      </c>
      <c r="D7380">
        <v>-5030.0200000000004</v>
      </c>
    </row>
    <row r="7381" spans="1:4" x14ac:dyDescent="0.25">
      <c r="A7381" t="s">
        <v>679</v>
      </c>
      <c r="B7381" t="s">
        <v>134</v>
      </c>
      <c r="C7381" s="2">
        <f>HYPERLINK("https://sao.dolgi.msk.ru/account/1404260444/", 1404260444)</f>
        <v>1404260444</v>
      </c>
      <c r="D7381">
        <v>10335.56</v>
      </c>
    </row>
    <row r="7382" spans="1:4" x14ac:dyDescent="0.25">
      <c r="A7382" t="s">
        <v>679</v>
      </c>
      <c r="B7382" t="s">
        <v>135</v>
      </c>
      <c r="C7382" s="2">
        <f>HYPERLINK("https://sao.dolgi.msk.ru/account/1404261017/", 1404261017)</f>
        <v>1404261017</v>
      </c>
      <c r="D7382">
        <v>24282</v>
      </c>
    </row>
    <row r="7383" spans="1:4" hidden="1" x14ac:dyDescent="0.25">
      <c r="A7383" t="s">
        <v>679</v>
      </c>
      <c r="B7383" t="s">
        <v>136</v>
      </c>
      <c r="C7383" s="2">
        <f>HYPERLINK("https://sao.dolgi.msk.ru/account/1404262458/", 1404262458)</f>
        <v>1404262458</v>
      </c>
      <c r="D7383">
        <v>-7731.03</v>
      </c>
    </row>
    <row r="7384" spans="1:4" x14ac:dyDescent="0.25">
      <c r="A7384" t="s">
        <v>679</v>
      </c>
      <c r="B7384" t="s">
        <v>137</v>
      </c>
      <c r="C7384" s="2">
        <f>HYPERLINK("https://sao.dolgi.msk.ru/account/1404261076/", 1404261076)</f>
        <v>1404261076</v>
      </c>
      <c r="D7384">
        <v>6531.51</v>
      </c>
    </row>
    <row r="7385" spans="1:4" hidden="1" x14ac:dyDescent="0.25">
      <c r="A7385" t="s">
        <v>679</v>
      </c>
      <c r="B7385" t="s">
        <v>138</v>
      </c>
      <c r="C7385" s="2">
        <f>HYPERLINK("https://sao.dolgi.msk.ru/account/1404260591/", 1404260591)</f>
        <v>1404260591</v>
      </c>
      <c r="D7385">
        <v>-5638.57</v>
      </c>
    </row>
    <row r="7386" spans="1:4" hidden="1" x14ac:dyDescent="0.25">
      <c r="A7386" t="s">
        <v>679</v>
      </c>
      <c r="B7386" t="s">
        <v>139</v>
      </c>
      <c r="C7386" s="2">
        <f>HYPERLINK("https://sao.dolgi.msk.ru/account/1404262466/", 1404262466)</f>
        <v>1404262466</v>
      </c>
      <c r="D7386">
        <v>-4687.2</v>
      </c>
    </row>
    <row r="7387" spans="1:4" x14ac:dyDescent="0.25">
      <c r="A7387" t="s">
        <v>679</v>
      </c>
      <c r="B7387" t="s">
        <v>140</v>
      </c>
      <c r="C7387" s="2">
        <f>HYPERLINK("https://sao.dolgi.msk.ru/account/1404261455/", 1404261455)</f>
        <v>1404261455</v>
      </c>
      <c r="D7387">
        <v>12227.77</v>
      </c>
    </row>
    <row r="7388" spans="1:4" hidden="1" x14ac:dyDescent="0.25">
      <c r="A7388" t="s">
        <v>679</v>
      </c>
      <c r="B7388" t="s">
        <v>141</v>
      </c>
      <c r="C7388" s="2">
        <f>HYPERLINK("https://sao.dolgi.msk.ru/account/1404261199/", 1404261199)</f>
        <v>1404261199</v>
      </c>
      <c r="D7388">
        <v>-7013.27</v>
      </c>
    </row>
    <row r="7389" spans="1:4" hidden="1" x14ac:dyDescent="0.25">
      <c r="A7389" t="s">
        <v>679</v>
      </c>
      <c r="B7389" t="s">
        <v>142</v>
      </c>
      <c r="C7389" s="2">
        <f>HYPERLINK("https://sao.dolgi.msk.ru/account/1404261586/", 1404261586)</f>
        <v>1404261586</v>
      </c>
      <c r="D7389">
        <v>0</v>
      </c>
    </row>
    <row r="7390" spans="1:4" hidden="1" x14ac:dyDescent="0.25">
      <c r="A7390" t="s">
        <v>679</v>
      </c>
      <c r="B7390" t="s">
        <v>143</v>
      </c>
      <c r="C7390" s="2">
        <f>HYPERLINK("https://sao.dolgi.msk.ru/account/1404260866/", 1404260866)</f>
        <v>1404260866</v>
      </c>
      <c r="D7390">
        <v>-4459.38</v>
      </c>
    </row>
    <row r="7391" spans="1:4" hidden="1" x14ac:dyDescent="0.25">
      <c r="A7391" t="s">
        <v>679</v>
      </c>
      <c r="B7391" t="s">
        <v>144</v>
      </c>
      <c r="C7391" s="2">
        <f>HYPERLINK("https://sao.dolgi.msk.ru/account/1404261201/", 1404261201)</f>
        <v>1404261201</v>
      </c>
      <c r="D7391">
        <v>-1964.57</v>
      </c>
    </row>
    <row r="7392" spans="1:4" x14ac:dyDescent="0.25">
      <c r="A7392" t="s">
        <v>679</v>
      </c>
      <c r="B7392" t="s">
        <v>145</v>
      </c>
      <c r="C7392" s="2">
        <f>HYPERLINK("https://sao.dolgi.msk.ru/account/1404262714/", 1404262714)</f>
        <v>1404262714</v>
      </c>
      <c r="D7392">
        <v>23143.22</v>
      </c>
    </row>
    <row r="7393" spans="1:4" hidden="1" x14ac:dyDescent="0.25">
      <c r="A7393" t="s">
        <v>679</v>
      </c>
      <c r="B7393" t="s">
        <v>146</v>
      </c>
      <c r="C7393" s="2">
        <f>HYPERLINK("https://sao.dolgi.msk.ru/account/1404261527/", 1404261527)</f>
        <v>1404261527</v>
      </c>
      <c r="D7393">
        <v>0</v>
      </c>
    </row>
    <row r="7394" spans="1:4" hidden="1" x14ac:dyDescent="0.25">
      <c r="A7394" t="s">
        <v>679</v>
      </c>
      <c r="B7394" t="s">
        <v>147</v>
      </c>
      <c r="C7394" s="2">
        <f>HYPERLINK("https://sao.dolgi.msk.ru/account/1404262212/", 1404262212)</f>
        <v>1404262212</v>
      </c>
      <c r="D7394">
        <v>-7255.35</v>
      </c>
    </row>
    <row r="7395" spans="1:4" x14ac:dyDescent="0.25">
      <c r="A7395" t="s">
        <v>679</v>
      </c>
      <c r="B7395" t="s">
        <v>148</v>
      </c>
      <c r="C7395" s="2">
        <f>HYPERLINK("https://sao.dolgi.msk.ru/account/1404261236/", 1404261236)</f>
        <v>1404261236</v>
      </c>
      <c r="D7395">
        <v>412.59</v>
      </c>
    </row>
    <row r="7396" spans="1:4" hidden="1" x14ac:dyDescent="0.25">
      <c r="A7396" t="s">
        <v>679</v>
      </c>
      <c r="B7396" t="s">
        <v>149</v>
      </c>
      <c r="C7396" s="2">
        <f>HYPERLINK("https://sao.dolgi.msk.ru/account/1404262394/", 1404262394)</f>
        <v>1404262394</v>
      </c>
      <c r="D7396">
        <v>-10735.9</v>
      </c>
    </row>
    <row r="7397" spans="1:4" hidden="1" x14ac:dyDescent="0.25">
      <c r="A7397" t="s">
        <v>679</v>
      </c>
      <c r="B7397" t="s">
        <v>150</v>
      </c>
      <c r="C7397" s="2">
        <f>HYPERLINK("https://sao.dolgi.msk.ru/account/1404261172/", 1404261172)</f>
        <v>1404261172</v>
      </c>
      <c r="D7397">
        <v>-6204.06</v>
      </c>
    </row>
    <row r="7398" spans="1:4" x14ac:dyDescent="0.25">
      <c r="A7398" t="s">
        <v>679</v>
      </c>
      <c r="B7398" t="s">
        <v>151</v>
      </c>
      <c r="C7398" s="2">
        <f>HYPERLINK("https://sao.dolgi.msk.ru/account/1404262722/", 1404262722)</f>
        <v>1404262722</v>
      </c>
      <c r="D7398">
        <v>9786.15</v>
      </c>
    </row>
    <row r="7399" spans="1:4" hidden="1" x14ac:dyDescent="0.25">
      <c r="A7399" t="s">
        <v>679</v>
      </c>
      <c r="B7399" t="s">
        <v>152</v>
      </c>
      <c r="C7399" s="2">
        <f>HYPERLINK("https://sao.dolgi.msk.ru/account/1404261834/", 1404261834)</f>
        <v>1404261834</v>
      </c>
      <c r="D7399">
        <v>0</v>
      </c>
    </row>
    <row r="7400" spans="1:4" hidden="1" x14ac:dyDescent="0.25">
      <c r="A7400" t="s">
        <v>679</v>
      </c>
      <c r="B7400" t="s">
        <v>153</v>
      </c>
      <c r="C7400" s="2">
        <f>HYPERLINK("https://sao.dolgi.msk.ru/account/1404260698/", 1404260698)</f>
        <v>1404260698</v>
      </c>
      <c r="D7400">
        <v>-4477.3599999999997</v>
      </c>
    </row>
    <row r="7401" spans="1:4" hidden="1" x14ac:dyDescent="0.25">
      <c r="A7401" t="s">
        <v>679</v>
      </c>
      <c r="B7401" t="s">
        <v>153</v>
      </c>
      <c r="C7401" s="2">
        <f>HYPERLINK("https://sao.dolgi.msk.ru/account/1404261869/", 1404261869)</f>
        <v>1404261869</v>
      </c>
      <c r="D7401">
        <v>-2631.14</v>
      </c>
    </row>
    <row r="7402" spans="1:4" hidden="1" x14ac:dyDescent="0.25">
      <c r="A7402" t="s">
        <v>679</v>
      </c>
      <c r="B7402" t="s">
        <v>154</v>
      </c>
      <c r="C7402" s="2">
        <f>HYPERLINK("https://sao.dolgi.msk.ru/account/1404262749/", 1404262749)</f>
        <v>1404262749</v>
      </c>
      <c r="D7402">
        <v>0</v>
      </c>
    </row>
    <row r="7403" spans="1:4" x14ac:dyDescent="0.25">
      <c r="A7403" t="s">
        <v>679</v>
      </c>
      <c r="B7403" t="s">
        <v>155</v>
      </c>
      <c r="C7403" s="2">
        <f>HYPERLINK("https://sao.dolgi.msk.ru/account/1404260874/", 1404260874)</f>
        <v>1404260874</v>
      </c>
      <c r="D7403">
        <v>10363.94</v>
      </c>
    </row>
    <row r="7404" spans="1:4" hidden="1" x14ac:dyDescent="0.25">
      <c r="A7404" t="s">
        <v>679</v>
      </c>
      <c r="B7404" t="s">
        <v>156</v>
      </c>
      <c r="C7404" s="2">
        <f>HYPERLINK("https://sao.dolgi.msk.ru/account/1404262239/", 1404262239)</f>
        <v>1404262239</v>
      </c>
      <c r="D7404">
        <v>-8639.61</v>
      </c>
    </row>
    <row r="7405" spans="1:4" hidden="1" x14ac:dyDescent="0.25">
      <c r="A7405" t="s">
        <v>679</v>
      </c>
      <c r="B7405" t="s">
        <v>157</v>
      </c>
      <c r="C7405" s="2">
        <f>HYPERLINK("https://sao.dolgi.msk.ru/account/1404261463/", 1404261463)</f>
        <v>1404261463</v>
      </c>
      <c r="D7405">
        <v>-7022.72</v>
      </c>
    </row>
    <row r="7406" spans="1:4" hidden="1" x14ac:dyDescent="0.25">
      <c r="A7406" t="s">
        <v>679</v>
      </c>
      <c r="B7406" t="s">
        <v>158</v>
      </c>
      <c r="C7406" s="2">
        <f>HYPERLINK("https://sao.dolgi.msk.ru/account/1404260882/", 1404260882)</f>
        <v>1404260882</v>
      </c>
      <c r="D7406">
        <v>-9670.9</v>
      </c>
    </row>
    <row r="7407" spans="1:4" hidden="1" x14ac:dyDescent="0.25">
      <c r="A7407" t="s">
        <v>679</v>
      </c>
      <c r="B7407" t="s">
        <v>159</v>
      </c>
      <c r="C7407" s="2">
        <f>HYPERLINK("https://sao.dolgi.msk.ru/account/1404261535/", 1404261535)</f>
        <v>1404261535</v>
      </c>
      <c r="D7407">
        <v>-2494.0700000000002</v>
      </c>
    </row>
    <row r="7408" spans="1:4" hidden="1" x14ac:dyDescent="0.25">
      <c r="A7408" t="s">
        <v>679</v>
      </c>
      <c r="B7408" t="s">
        <v>159</v>
      </c>
      <c r="C7408" s="2">
        <f>HYPERLINK("https://sao.dolgi.msk.ru/account/1404293713/", 1404293713)</f>
        <v>1404293713</v>
      </c>
      <c r="D7408">
        <v>-2582.96</v>
      </c>
    </row>
    <row r="7409" spans="1:4" hidden="1" x14ac:dyDescent="0.25">
      <c r="A7409" t="s">
        <v>679</v>
      </c>
      <c r="B7409" t="s">
        <v>160</v>
      </c>
      <c r="C7409" s="2">
        <f>HYPERLINK("https://sao.dolgi.msk.ru/account/1404262415/", 1404262415)</f>
        <v>1404262415</v>
      </c>
      <c r="D7409">
        <v>0</v>
      </c>
    </row>
    <row r="7410" spans="1:4" hidden="1" x14ac:dyDescent="0.25">
      <c r="A7410" t="s">
        <v>679</v>
      </c>
      <c r="B7410" t="s">
        <v>161</v>
      </c>
      <c r="C7410" s="2">
        <f>HYPERLINK("https://sao.dolgi.msk.ru/account/1404260583/", 1404260583)</f>
        <v>1404260583</v>
      </c>
      <c r="D7410">
        <v>-8001.72</v>
      </c>
    </row>
    <row r="7411" spans="1:4" hidden="1" x14ac:dyDescent="0.25">
      <c r="A7411" t="s">
        <v>679</v>
      </c>
      <c r="B7411" t="s">
        <v>162</v>
      </c>
      <c r="C7411" s="2">
        <f>HYPERLINK("https://sao.dolgi.msk.ru/account/1404262204/", 1404262204)</f>
        <v>1404262204</v>
      </c>
      <c r="D7411">
        <v>-6487.19</v>
      </c>
    </row>
    <row r="7412" spans="1:4" hidden="1" x14ac:dyDescent="0.25">
      <c r="A7412" t="s">
        <v>679</v>
      </c>
      <c r="B7412" t="s">
        <v>163</v>
      </c>
      <c r="C7412" s="2">
        <f>HYPERLINK("https://sao.dolgi.msk.ru/account/1404262319/", 1404262319)</f>
        <v>1404262319</v>
      </c>
      <c r="D7412">
        <v>-4060.91</v>
      </c>
    </row>
    <row r="7413" spans="1:4" hidden="1" x14ac:dyDescent="0.25">
      <c r="A7413" t="s">
        <v>679</v>
      </c>
      <c r="B7413" t="s">
        <v>164</v>
      </c>
      <c r="C7413" s="2">
        <f>HYPERLINK("https://sao.dolgi.msk.ru/account/1404260954/", 1404260954)</f>
        <v>1404260954</v>
      </c>
      <c r="D7413">
        <v>0</v>
      </c>
    </row>
    <row r="7414" spans="1:4" hidden="1" x14ac:dyDescent="0.25">
      <c r="A7414" t="s">
        <v>679</v>
      </c>
      <c r="B7414" t="s">
        <v>165</v>
      </c>
      <c r="C7414" s="2">
        <f>HYPERLINK("https://sao.dolgi.msk.ru/account/1404262327/", 1404262327)</f>
        <v>1404262327</v>
      </c>
      <c r="D7414">
        <v>-11866.9</v>
      </c>
    </row>
    <row r="7415" spans="1:4" hidden="1" x14ac:dyDescent="0.25">
      <c r="A7415" t="s">
        <v>679</v>
      </c>
      <c r="B7415" t="s">
        <v>166</v>
      </c>
      <c r="C7415" s="2">
        <f>HYPERLINK("https://sao.dolgi.msk.ru/account/1404262677/", 1404262677)</f>
        <v>1404262677</v>
      </c>
      <c r="D7415">
        <v>0</v>
      </c>
    </row>
    <row r="7416" spans="1:4" hidden="1" x14ac:dyDescent="0.25">
      <c r="A7416" t="s">
        <v>679</v>
      </c>
      <c r="B7416" t="s">
        <v>167</v>
      </c>
      <c r="C7416" s="2">
        <f>HYPERLINK("https://sao.dolgi.msk.ru/account/1404260532/", 1404260532)</f>
        <v>1404260532</v>
      </c>
      <c r="D7416">
        <v>-4582.7</v>
      </c>
    </row>
    <row r="7417" spans="1:4" hidden="1" x14ac:dyDescent="0.25">
      <c r="A7417" t="s">
        <v>679</v>
      </c>
      <c r="B7417" t="s">
        <v>168</v>
      </c>
      <c r="C7417" s="2">
        <f>HYPERLINK("https://sao.dolgi.msk.ru/account/1404261121/", 1404261121)</f>
        <v>1404261121</v>
      </c>
      <c r="D7417">
        <v>0</v>
      </c>
    </row>
    <row r="7418" spans="1:4" hidden="1" x14ac:dyDescent="0.25">
      <c r="A7418" t="s">
        <v>679</v>
      </c>
      <c r="B7418" t="s">
        <v>169</v>
      </c>
      <c r="C7418" s="2">
        <f>HYPERLINK("https://sao.dolgi.msk.ru/account/1404262685/", 1404262685)</f>
        <v>1404262685</v>
      </c>
      <c r="D7418">
        <v>-7401.15</v>
      </c>
    </row>
    <row r="7419" spans="1:4" x14ac:dyDescent="0.25">
      <c r="A7419" t="s">
        <v>679</v>
      </c>
      <c r="B7419" t="s">
        <v>170</v>
      </c>
      <c r="C7419" s="2">
        <f>HYPERLINK("https://sao.dolgi.msk.ru/account/1404262693/", 1404262693)</f>
        <v>1404262693</v>
      </c>
      <c r="D7419">
        <v>7891.49</v>
      </c>
    </row>
    <row r="7420" spans="1:4" hidden="1" x14ac:dyDescent="0.25">
      <c r="A7420" t="s">
        <v>679</v>
      </c>
      <c r="B7420" t="s">
        <v>171</v>
      </c>
      <c r="C7420" s="2">
        <f>HYPERLINK("https://sao.dolgi.msk.ru/account/1404261842/", 1404261842)</f>
        <v>1404261842</v>
      </c>
      <c r="D7420">
        <v>-9345.59</v>
      </c>
    </row>
    <row r="7421" spans="1:4" hidden="1" x14ac:dyDescent="0.25">
      <c r="A7421" t="s">
        <v>679</v>
      </c>
      <c r="B7421" t="s">
        <v>172</v>
      </c>
      <c r="C7421" s="2">
        <f>HYPERLINK("https://sao.dolgi.msk.ru/account/1404260567/", 1404260567)</f>
        <v>1404260567</v>
      </c>
      <c r="D7421">
        <v>-8307.15</v>
      </c>
    </row>
    <row r="7422" spans="1:4" hidden="1" x14ac:dyDescent="0.25">
      <c r="A7422" t="s">
        <v>679</v>
      </c>
      <c r="B7422" t="s">
        <v>173</v>
      </c>
      <c r="C7422" s="2">
        <f>HYPERLINK("https://sao.dolgi.msk.ru/account/1404262706/", 1404262706)</f>
        <v>1404262706</v>
      </c>
      <c r="D7422">
        <v>0</v>
      </c>
    </row>
    <row r="7423" spans="1:4" hidden="1" x14ac:dyDescent="0.25">
      <c r="A7423" t="s">
        <v>679</v>
      </c>
      <c r="B7423" t="s">
        <v>174</v>
      </c>
      <c r="C7423" s="2">
        <f>HYPERLINK("https://sao.dolgi.msk.ru/account/1404261797/", 1404261797)</f>
        <v>1404261797</v>
      </c>
      <c r="D7423">
        <v>-3108.3</v>
      </c>
    </row>
    <row r="7424" spans="1:4" hidden="1" x14ac:dyDescent="0.25">
      <c r="A7424" t="s">
        <v>679</v>
      </c>
      <c r="B7424" t="s">
        <v>175</v>
      </c>
      <c r="C7424" s="2">
        <f>HYPERLINK("https://sao.dolgi.msk.ru/account/1404260962/", 1404260962)</f>
        <v>1404260962</v>
      </c>
      <c r="D7424">
        <v>0</v>
      </c>
    </row>
    <row r="7425" spans="1:4" hidden="1" x14ac:dyDescent="0.25">
      <c r="A7425" t="s">
        <v>679</v>
      </c>
      <c r="B7425" t="s">
        <v>175</v>
      </c>
      <c r="C7425" s="2">
        <f>HYPERLINK("https://sao.dolgi.msk.ru/account/1404261746/", 1404261746)</f>
        <v>1404261746</v>
      </c>
      <c r="D7425">
        <v>0</v>
      </c>
    </row>
    <row r="7426" spans="1:4" hidden="1" x14ac:dyDescent="0.25">
      <c r="A7426" t="s">
        <v>679</v>
      </c>
      <c r="B7426" t="s">
        <v>176</v>
      </c>
      <c r="C7426" s="2">
        <f>HYPERLINK("https://sao.dolgi.msk.ru/account/1404262001/", 1404262001)</f>
        <v>1404262001</v>
      </c>
      <c r="D7426">
        <v>0</v>
      </c>
    </row>
    <row r="7427" spans="1:4" hidden="1" x14ac:dyDescent="0.25">
      <c r="A7427" t="s">
        <v>679</v>
      </c>
      <c r="B7427" t="s">
        <v>177</v>
      </c>
      <c r="C7427" s="2">
        <f>HYPERLINK("https://sao.dolgi.msk.ru/account/1404262087/", 1404262087)</f>
        <v>1404262087</v>
      </c>
      <c r="D7427">
        <v>-10319.93</v>
      </c>
    </row>
    <row r="7428" spans="1:4" hidden="1" x14ac:dyDescent="0.25">
      <c r="A7428" t="s">
        <v>679</v>
      </c>
      <c r="B7428" t="s">
        <v>178</v>
      </c>
      <c r="C7428" s="2">
        <f>HYPERLINK("https://sao.dolgi.msk.ru/account/1404261623/", 1404261623)</f>
        <v>1404261623</v>
      </c>
      <c r="D7428">
        <v>-3933.18</v>
      </c>
    </row>
    <row r="7429" spans="1:4" hidden="1" x14ac:dyDescent="0.25">
      <c r="A7429" t="s">
        <v>679</v>
      </c>
      <c r="B7429" t="s">
        <v>179</v>
      </c>
      <c r="C7429" s="2">
        <f>HYPERLINK("https://sao.dolgi.msk.ru/account/1404260786/", 1404260786)</f>
        <v>1404260786</v>
      </c>
      <c r="D7429">
        <v>-5873.64</v>
      </c>
    </row>
    <row r="7430" spans="1:4" hidden="1" x14ac:dyDescent="0.25">
      <c r="A7430" t="s">
        <v>679</v>
      </c>
      <c r="B7430" t="s">
        <v>180</v>
      </c>
      <c r="C7430" s="2">
        <f>HYPERLINK("https://sao.dolgi.msk.ru/account/1404262028/", 1404262028)</f>
        <v>1404262028</v>
      </c>
      <c r="D7430">
        <v>-7996.08</v>
      </c>
    </row>
    <row r="7431" spans="1:4" hidden="1" x14ac:dyDescent="0.25">
      <c r="A7431" t="s">
        <v>679</v>
      </c>
      <c r="B7431" t="s">
        <v>181</v>
      </c>
      <c r="C7431" s="2">
        <f>HYPERLINK("https://sao.dolgi.msk.ru/account/1404262634/", 1404262634)</f>
        <v>1404262634</v>
      </c>
      <c r="D7431">
        <v>-7575.91</v>
      </c>
    </row>
    <row r="7432" spans="1:4" hidden="1" x14ac:dyDescent="0.25">
      <c r="A7432" t="s">
        <v>679</v>
      </c>
      <c r="B7432" t="s">
        <v>182</v>
      </c>
      <c r="C7432" s="2">
        <f>HYPERLINK("https://sao.dolgi.msk.ru/account/1404261092/", 1404261092)</f>
        <v>1404261092</v>
      </c>
      <c r="D7432">
        <v>-5499.61</v>
      </c>
    </row>
    <row r="7433" spans="1:4" x14ac:dyDescent="0.25">
      <c r="A7433" t="s">
        <v>679</v>
      </c>
      <c r="B7433" t="s">
        <v>183</v>
      </c>
      <c r="C7433" s="2">
        <f>HYPERLINK("https://sao.dolgi.msk.ru/account/1404262036/", 1404262036)</f>
        <v>1404262036</v>
      </c>
      <c r="D7433">
        <v>3760.82</v>
      </c>
    </row>
    <row r="7434" spans="1:4" x14ac:dyDescent="0.25">
      <c r="A7434" t="s">
        <v>679</v>
      </c>
      <c r="B7434" t="s">
        <v>184</v>
      </c>
      <c r="C7434" s="2">
        <f>HYPERLINK("https://sao.dolgi.msk.ru/account/1404262618/", 1404262618)</f>
        <v>1404262618</v>
      </c>
      <c r="D7434">
        <v>5000</v>
      </c>
    </row>
    <row r="7435" spans="1:4" hidden="1" x14ac:dyDescent="0.25">
      <c r="A7435" t="s">
        <v>679</v>
      </c>
      <c r="B7435" t="s">
        <v>185</v>
      </c>
      <c r="C7435" s="2">
        <f>HYPERLINK("https://sao.dolgi.msk.ru/account/1404261754/", 1404261754)</f>
        <v>1404261754</v>
      </c>
      <c r="D7435">
        <v>0</v>
      </c>
    </row>
    <row r="7436" spans="1:4" hidden="1" x14ac:dyDescent="0.25">
      <c r="A7436" t="s">
        <v>679</v>
      </c>
      <c r="B7436" t="s">
        <v>185</v>
      </c>
      <c r="C7436" s="2">
        <f>HYPERLINK("https://sao.dolgi.msk.ru/account/1404262626/", 1404262626)</f>
        <v>1404262626</v>
      </c>
      <c r="D7436">
        <v>0</v>
      </c>
    </row>
    <row r="7437" spans="1:4" hidden="1" x14ac:dyDescent="0.25">
      <c r="A7437" t="s">
        <v>679</v>
      </c>
      <c r="B7437" t="s">
        <v>186</v>
      </c>
      <c r="C7437" s="2">
        <f>HYPERLINK("https://sao.dolgi.msk.ru/account/1404261105/", 1404261105)</f>
        <v>1404261105</v>
      </c>
      <c r="D7437">
        <v>-4862.28</v>
      </c>
    </row>
    <row r="7438" spans="1:4" hidden="1" x14ac:dyDescent="0.25">
      <c r="A7438" t="s">
        <v>679</v>
      </c>
      <c r="B7438" t="s">
        <v>187</v>
      </c>
      <c r="C7438" s="2">
        <f>HYPERLINK("https://sao.dolgi.msk.ru/account/1404261738/", 1404261738)</f>
        <v>1404261738</v>
      </c>
      <c r="D7438">
        <v>-7215.9</v>
      </c>
    </row>
    <row r="7439" spans="1:4" x14ac:dyDescent="0.25">
      <c r="A7439" t="s">
        <v>679</v>
      </c>
      <c r="B7439" t="s">
        <v>188</v>
      </c>
      <c r="C7439" s="2">
        <f>HYPERLINK("https://sao.dolgi.msk.ru/account/1404261981/", 1404261981)</f>
        <v>1404261981</v>
      </c>
      <c r="D7439">
        <v>20100.12</v>
      </c>
    </row>
    <row r="7440" spans="1:4" hidden="1" x14ac:dyDescent="0.25">
      <c r="A7440" t="s">
        <v>680</v>
      </c>
      <c r="B7440" t="s">
        <v>5</v>
      </c>
      <c r="C7440" s="2">
        <f>HYPERLINK("https://sao.dolgi.msk.ru/account/1404263215/", 1404263215)</f>
        <v>1404263215</v>
      </c>
      <c r="D7440">
        <v>-7009.76</v>
      </c>
    </row>
    <row r="7441" spans="1:4" hidden="1" x14ac:dyDescent="0.25">
      <c r="A7441" t="s">
        <v>680</v>
      </c>
      <c r="B7441" t="s">
        <v>6</v>
      </c>
      <c r="C7441" s="2">
        <f>HYPERLINK("https://sao.dolgi.msk.ru/account/1404264218/", 1404264218)</f>
        <v>1404264218</v>
      </c>
      <c r="D7441">
        <v>0</v>
      </c>
    </row>
    <row r="7442" spans="1:4" hidden="1" x14ac:dyDescent="0.25">
      <c r="A7442" t="s">
        <v>680</v>
      </c>
      <c r="B7442" t="s">
        <v>7</v>
      </c>
      <c r="C7442" s="2">
        <f>HYPERLINK("https://sao.dolgi.msk.ru/account/1404262933/", 1404262933)</f>
        <v>1404262933</v>
      </c>
      <c r="D7442">
        <v>-4500.3599999999997</v>
      </c>
    </row>
    <row r="7443" spans="1:4" hidden="1" x14ac:dyDescent="0.25">
      <c r="A7443" t="s">
        <v>680</v>
      </c>
      <c r="B7443" t="s">
        <v>8</v>
      </c>
      <c r="C7443" s="2">
        <f>HYPERLINK("https://sao.dolgi.msk.ru/account/1404262781/", 1404262781)</f>
        <v>1404262781</v>
      </c>
      <c r="D7443">
        <v>-7385.51</v>
      </c>
    </row>
    <row r="7444" spans="1:4" hidden="1" x14ac:dyDescent="0.25">
      <c r="A7444" t="s">
        <v>680</v>
      </c>
      <c r="B7444" t="s">
        <v>9</v>
      </c>
      <c r="C7444" s="2">
        <f>HYPERLINK("https://sao.dolgi.msk.ru/account/1404263303/", 1404263303)</f>
        <v>1404263303</v>
      </c>
      <c r="D7444">
        <v>-8078.08</v>
      </c>
    </row>
    <row r="7445" spans="1:4" hidden="1" x14ac:dyDescent="0.25">
      <c r="A7445" t="s">
        <v>680</v>
      </c>
      <c r="B7445" t="s">
        <v>10</v>
      </c>
      <c r="C7445" s="2">
        <f>HYPERLINK("https://sao.dolgi.msk.ru/account/1404263397/", 1404263397)</f>
        <v>1404263397</v>
      </c>
      <c r="D7445">
        <v>-2297.92</v>
      </c>
    </row>
    <row r="7446" spans="1:4" hidden="1" x14ac:dyDescent="0.25">
      <c r="A7446" t="s">
        <v>680</v>
      </c>
      <c r="B7446" t="s">
        <v>11</v>
      </c>
      <c r="C7446" s="2">
        <f>HYPERLINK("https://sao.dolgi.msk.ru/account/1404264197/", 1404264197)</f>
        <v>1404264197</v>
      </c>
      <c r="D7446">
        <v>-2540.77</v>
      </c>
    </row>
    <row r="7447" spans="1:4" hidden="1" x14ac:dyDescent="0.25">
      <c r="A7447" t="s">
        <v>680</v>
      </c>
      <c r="B7447" t="s">
        <v>12</v>
      </c>
      <c r="C7447" s="2">
        <f>HYPERLINK("https://sao.dolgi.msk.ru/account/1404263098/", 1404263098)</f>
        <v>1404263098</v>
      </c>
      <c r="D7447">
        <v>-5285.63</v>
      </c>
    </row>
    <row r="7448" spans="1:4" hidden="1" x14ac:dyDescent="0.25">
      <c r="A7448" t="s">
        <v>680</v>
      </c>
      <c r="B7448" t="s">
        <v>13</v>
      </c>
      <c r="C7448" s="2">
        <f>HYPERLINK("https://sao.dolgi.msk.ru/account/1404263418/", 1404263418)</f>
        <v>1404263418</v>
      </c>
      <c r="D7448">
        <v>-7099.95</v>
      </c>
    </row>
    <row r="7449" spans="1:4" hidden="1" x14ac:dyDescent="0.25">
      <c r="A7449" t="s">
        <v>680</v>
      </c>
      <c r="B7449" t="s">
        <v>14</v>
      </c>
      <c r="C7449" s="2">
        <f>HYPERLINK("https://sao.dolgi.msk.ru/account/1404263389/", 1404263389)</f>
        <v>1404263389</v>
      </c>
      <c r="D7449">
        <v>-4710.29</v>
      </c>
    </row>
    <row r="7450" spans="1:4" hidden="1" x14ac:dyDescent="0.25">
      <c r="A7450" t="s">
        <v>680</v>
      </c>
      <c r="B7450" t="s">
        <v>15</v>
      </c>
      <c r="C7450" s="2">
        <f>HYPERLINK("https://sao.dolgi.msk.ru/account/1404264162/", 1404264162)</f>
        <v>1404264162</v>
      </c>
      <c r="D7450">
        <v>0</v>
      </c>
    </row>
    <row r="7451" spans="1:4" hidden="1" x14ac:dyDescent="0.25">
      <c r="A7451" t="s">
        <v>680</v>
      </c>
      <c r="B7451" t="s">
        <v>16</v>
      </c>
      <c r="C7451" s="2">
        <f>HYPERLINK("https://sao.dolgi.msk.ru/account/1404264285/", 1404264285)</f>
        <v>1404264285</v>
      </c>
      <c r="D7451">
        <v>-6795.1</v>
      </c>
    </row>
    <row r="7452" spans="1:4" hidden="1" x14ac:dyDescent="0.25">
      <c r="A7452" t="s">
        <v>680</v>
      </c>
      <c r="B7452" t="s">
        <v>17</v>
      </c>
      <c r="C7452" s="2">
        <f>HYPERLINK("https://sao.dolgi.msk.ru/account/1404263784/", 1404263784)</f>
        <v>1404263784</v>
      </c>
      <c r="D7452">
        <v>0</v>
      </c>
    </row>
    <row r="7453" spans="1:4" hidden="1" x14ac:dyDescent="0.25">
      <c r="A7453" t="s">
        <v>680</v>
      </c>
      <c r="B7453" t="s">
        <v>18</v>
      </c>
      <c r="C7453" s="2">
        <f>HYPERLINK("https://sao.dolgi.msk.ru/account/1404263186/", 1404263186)</f>
        <v>1404263186</v>
      </c>
      <c r="D7453">
        <v>0</v>
      </c>
    </row>
    <row r="7454" spans="1:4" x14ac:dyDescent="0.25">
      <c r="A7454" t="s">
        <v>680</v>
      </c>
      <c r="B7454" t="s">
        <v>19</v>
      </c>
      <c r="C7454" s="2">
        <f>HYPERLINK("https://sao.dolgi.msk.ru/account/1404264314/", 1404264314)</f>
        <v>1404264314</v>
      </c>
      <c r="D7454">
        <v>39381.57</v>
      </c>
    </row>
    <row r="7455" spans="1:4" hidden="1" x14ac:dyDescent="0.25">
      <c r="A7455" t="s">
        <v>680</v>
      </c>
      <c r="B7455" t="s">
        <v>20</v>
      </c>
      <c r="C7455" s="2">
        <f>HYPERLINK("https://sao.dolgi.msk.ru/account/1404262837/", 1404262837)</f>
        <v>1404262837</v>
      </c>
      <c r="D7455">
        <v>-7634.07</v>
      </c>
    </row>
    <row r="7456" spans="1:4" hidden="1" x14ac:dyDescent="0.25">
      <c r="A7456" t="s">
        <v>680</v>
      </c>
      <c r="B7456" t="s">
        <v>21</v>
      </c>
      <c r="C7456" s="2">
        <f>HYPERLINK("https://sao.dolgi.msk.ru/account/1404263629/", 1404263629)</f>
        <v>1404263629</v>
      </c>
      <c r="D7456">
        <v>0</v>
      </c>
    </row>
    <row r="7457" spans="1:4" x14ac:dyDescent="0.25">
      <c r="A7457" t="s">
        <v>680</v>
      </c>
      <c r="B7457" t="s">
        <v>22</v>
      </c>
      <c r="C7457" s="2">
        <f>HYPERLINK("https://sao.dolgi.msk.ru/account/1404263805/", 1404263805)</f>
        <v>1404263805</v>
      </c>
      <c r="D7457">
        <v>6015.49</v>
      </c>
    </row>
    <row r="7458" spans="1:4" hidden="1" x14ac:dyDescent="0.25">
      <c r="A7458" t="s">
        <v>680</v>
      </c>
      <c r="B7458" t="s">
        <v>23</v>
      </c>
      <c r="C7458" s="2">
        <f>HYPERLINK("https://sao.dolgi.msk.ru/account/1404263995/", 1404263995)</f>
        <v>1404263995</v>
      </c>
      <c r="D7458">
        <v>0</v>
      </c>
    </row>
    <row r="7459" spans="1:4" hidden="1" x14ac:dyDescent="0.25">
      <c r="A7459" t="s">
        <v>680</v>
      </c>
      <c r="B7459" t="s">
        <v>24</v>
      </c>
      <c r="C7459" s="2">
        <f>HYPERLINK("https://sao.dolgi.msk.ru/account/1404264189/", 1404264189)</f>
        <v>1404264189</v>
      </c>
      <c r="D7459">
        <v>-18129.68</v>
      </c>
    </row>
    <row r="7460" spans="1:4" hidden="1" x14ac:dyDescent="0.25">
      <c r="A7460" t="s">
        <v>680</v>
      </c>
      <c r="B7460" t="s">
        <v>25</v>
      </c>
      <c r="C7460" s="2">
        <f>HYPERLINK("https://sao.dolgi.msk.ru/account/1404263354/", 1404263354)</f>
        <v>1404263354</v>
      </c>
      <c r="D7460">
        <v>-7029.45</v>
      </c>
    </row>
    <row r="7461" spans="1:4" hidden="1" x14ac:dyDescent="0.25">
      <c r="A7461" t="s">
        <v>680</v>
      </c>
      <c r="B7461" t="s">
        <v>26</v>
      </c>
      <c r="C7461" s="2">
        <f>HYPERLINK("https://sao.dolgi.msk.ru/account/1404264015/", 1404264015)</f>
        <v>1404264015</v>
      </c>
      <c r="D7461">
        <v>-5430.25</v>
      </c>
    </row>
    <row r="7462" spans="1:4" hidden="1" x14ac:dyDescent="0.25">
      <c r="A7462" t="s">
        <v>680</v>
      </c>
      <c r="B7462" t="s">
        <v>27</v>
      </c>
      <c r="C7462" s="2">
        <f>HYPERLINK("https://sao.dolgi.msk.ru/account/1404263012/", 1404263012)</f>
        <v>1404263012</v>
      </c>
      <c r="D7462">
        <v>-4.8600000000000003</v>
      </c>
    </row>
    <row r="7463" spans="1:4" hidden="1" x14ac:dyDescent="0.25">
      <c r="A7463" t="s">
        <v>680</v>
      </c>
      <c r="B7463" t="s">
        <v>28</v>
      </c>
      <c r="C7463" s="2">
        <f>HYPERLINK("https://sao.dolgi.msk.ru/account/1404262802/", 1404262802)</f>
        <v>1404262802</v>
      </c>
      <c r="D7463">
        <v>-5737.87</v>
      </c>
    </row>
    <row r="7464" spans="1:4" hidden="1" x14ac:dyDescent="0.25">
      <c r="A7464" t="s">
        <v>680</v>
      </c>
      <c r="B7464" t="s">
        <v>29</v>
      </c>
      <c r="C7464" s="2">
        <f>HYPERLINK("https://sao.dolgi.msk.ru/account/1404262909/", 1404262909)</f>
        <v>1404262909</v>
      </c>
      <c r="D7464">
        <v>0</v>
      </c>
    </row>
    <row r="7465" spans="1:4" x14ac:dyDescent="0.25">
      <c r="A7465" t="s">
        <v>680</v>
      </c>
      <c r="B7465" t="s">
        <v>30</v>
      </c>
      <c r="C7465" s="2">
        <f>HYPERLINK("https://sao.dolgi.msk.ru/account/1404263522/", 1404263522)</f>
        <v>1404263522</v>
      </c>
      <c r="D7465">
        <v>7139.92</v>
      </c>
    </row>
    <row r="7466" spans="1:4" hidden="1" x14ac:dyDescent="0.25">
      <c r="A7466" t="s">
        <v>680</v>
      </c>
      <c r="B7466" t="s">
        <v>31</v>
      </c>
      <c r="C7466" s="2">
        <f>HYPERLINK("https://sao.dolgi.msk.ru/account/1404264234/", 1404264234)</f>
        <v>1404264234</v>
      </c>
      <c r="D7466">
        <v>0</v>
      </c>
    </row>
    <row r="7467" spans="1:4" hidden="1" x14ac:dyDescent="0.25">
      <c r="A7467" t="s">
        <v>680</v>
      </c>
      <c r="B7467" t="s">
        <v>32</v>
      </c>
      <c r="C7467" s="2">
        <f>HYPERLINK("https://sao.dolgi.msk.ru/account/1404263311/", 1404263311)</f>
        <v>1404263311</v>
      </c>
      <c r="D7467">
        <v>-5709.42</v>
      </c>
    </row>
    <row r="7468" spans="1:4" hidden="1" x14ac:dyDescent="0.25">
      <c r="A7468" t="s">
        <v>680</v>
      </c>
      <c r="B7468" t="s">
        <v>33</v>
      </c>
      <c r="C7468" s="2">
        <f>HYPERLINK("https://sao.dolgi.msk.ru/account/1404263936/", 1404263936)</f>
        <v>1404263936</v>
      </c>
      <c r="D7468">
        <v>-7878.4</v>
      </c>
    </row>
    <row r="7469" spans="1:4" hidden="1" x14ac:dyDescent="0.25">
      <c r="A7469" t="s">
        <v>680</v>
      </c>
      <c r="B7469" t="s">
        <v>34</v>
      </c>
      <c r="C7469" s="2">
        <f>HYPERLINK("https://sao.dolgi.msk.ru/account/1404263725/", 1404263725)</f>
        <v>1404263725</v>
      </c>
      <c r="D7469">
        <v>0</v>
      </c>
    </row>
    <row r="7470" spans="1:4" hidden="1" x14ac:dyDescent="0.25">
      <c r="A7470" t="s">
        <v>680</v>
      </c>
      <c r="B7470" t="s">
        <v>35</v>
      </c>
      <c r="C7470" s="2">
        <f>HYPERLINK("https://sao.dolgi.msk.ru/account/1404263549/", 1404263549)</f>
        <v>1404263549</v>
      </c>
      <c r="D7470">
        <v>-3278.27</v>
      </c>
    </row>
    <row r="7471" spans="1:4" hidden="1" x14ac:dyDescent="0.25">
      <c r="A7471" t="s">
        <v>680</v>
      </c>
      <c r="B7471" t="s">
        <v>36</v>
      </c>
      <c r="C7471" s="2">
        <f>HYPERLINK("https://sao.dolgi.msk.ru/account/1404262861/", 1404262861)</f>
        <v>1404262861</v>
      </c>
      <c r="D7471">
        <v>-6330.18</v>
      </c>
    </row>
    <row r="7472" spans="1:4" hidden="1" x14ac:dyDescent="0.25">
      <c r="A7472" t="s">
        <v>680</v>
      </c>
      <c r="B7472" t="s">
        <v>37</v>
      </c>
      <c r="C7472" s="2">
        <f>HYPERLINK("https://sao.dolgi.msk.ru/account/1404263266/", 1404263266)</f>
        <v>1404263266</v>
      </c>
      <c r="D7472">
        <v>-428.97</v>
      </c>
    </row>
    <row r="7473" spans="1:4" hidden="1" x14ac:dyDescent="0.25">
      <c r="A7473" t="s">
        <v>680</v>
      </c>
      <c r="B7473" t="s">
        <v>38</v>
      </c>
      <c r="C7473" s="2">
        <f>HYPERLINK("https://sao.dolgi.msk.ru/account/1404263477/", 1404263477)</f>
        <v>1404263477</v>
      </c>
      <c r="D7473">
        <v>-3340.04</v>
      </c>
    </row>
    <row r="7474" spans="1:4" hidden="1" x14ac:dyDescent="0.25">
      <c r="A7474" t="s">
        <v>680</v>
      </c>
      <c r="B7474" t="s">
        <v>39</v>
      </c>
      <c r="C7474" s="2">
        <f>HYPERLINK("https://sao.dolgi.msk.ru/account/1404264365/", 1404264365)</f>
        <v>1404264365</v>
      </c>
      <c r="D7474">
        <v>-3876.34</v>
      </c>
    </row>
    <row r="7475" spans="1:4" hidden="1" x14ac:dyDescent="0.25">
      <c r="A7475" t="s">
        <v>680</v>
      </c>
      <c r="B7475" t="s">
        <v>40</v>
      </c>
      <c r="C7475" s="2">
        <f>HYPERLINK("https://sao.dolgi.msk.ru/account/1404264031/", 1404264031)</f>
        <v>1404264031</v>
      </c>
      <c r="D7475">
        <v>0</v>
      </c>
    </row>
    <row r="7476" spans="1:4" hidden="1" x14ac:dyDescent="0.25">
      <c r="A7476" t="s">
        <v>680</v>
      </c>
      <c r="B7476" t="s">
        <v>41</v>
      </c>
      <c r="C7476" s="2">
        <f>HYPERLINK("https://sao.dolgi.msk.ru/account/1404262829/", 1404262829)</f>
        <v>1404262829</v>
      </c>
      <c r="D7476">
        <v>-8461.8700000000008</v>
      </c>
    </row>
    <row r="7477" spans="1:4" hidden="1" x14ac:dyDescent="0.25">
      <c r="A7477" t="s">
        <v>680</v>
      </c>
      <c r="B7477" t="s">
        <v>42</v>
      </c>
      <c r="C7477" s="2">
        <f>HYPERLINK("https://sao.dolgi.msk.ru/account/1404263557/", 1404263557)</f>
        <v>1404263557</v>
      </c>
      <c r="D7477">
        <v>-7155.14</v>
      </c>
    </row>
    <row r="7478" spans="1:4" hidden="1" x14ac:dyDescent="0.25">
      <c r="A7478" t="s">
        <v>680</v>
      </c>
      <c r="B7478" t="s">
        <v>43</v>
      </c>
      <c r="C7478" s="2">
        <f>HYPERLINK("https://sao.dolgi.msk.ru/account/1404263223/", 1404263223)</f>
        <v>1404263223</v>
      </c>
      <c r="D7478">
        <v>-1777.03</v>
      </c>
    </row>
    <row r="7479" spans="1:4" x14ac:dyDescent="0.25">
      <c r="A7479" t="s">
        <v>680</v>
      </c>
      <c r="B7479" t="s">
        <v>44</v>
      </c>
      <c r="C7479" s="2">
        <f>HYPERLINK("https://sao.dolgi.msk.ru/account/1404263872/", 1404263872)</f>
        <v>1404263872</v>
      </c>
      <c r="D7479">
        <v>9521.86</v>
      </c>
    </row>
    <row r="7480" spans="1:4" hidden="1" x14ac:dyDescent="0.25">
      <c r="A7480" t="s">
        <v>680</v>
      </c>
      <c r="B7480" t="s">
        <v>45</v>
      </c>
      <c r="C7480" s="2">
        <f>HYPERLINK("https://sao.dolgi.msk.ru/account/1404262976/", 1404262976)</f>
        <v>1404262976</v>
      </c>
      <c r="D7480">
        <v>-12929.66</v>
      </c>
    </row>
    <row r="7481" spans="1:4" hidden="1" x14ac:dyDescent="0.25">
      <c r="A7481" t="s">
        <v>680</v>
      </c>
      <c r="B7481" t="s">
        <v>46</v>
      </c>
      <c r="C7481" s="2">
        <f>HYPERLINK("https://sao.dolgi.msk.ru/account/1404263055/", 1404263055)</f>
        <v>1404263055</v>
      </c>
      <c r="D7481">
        <v>-4341.6000000000004</v>
      </c>
    </row>
    <row r="7482" spans="1:4" hidden="1" x14ac:dyDescent="0.25">
      <c r="A7482" t="s">
        <v>680</v>
      </c>
      <c r="B7482" t="s">
        <v>47</v>
      </c>
      <c r="C7482" s="2">
        <f>HYPERLINK("https://sao.dolgi.msk.ru/account/1404263661/", 1404263661)</f>
        <v>1404263661</v>
      </c>
      <c r="D7482">
        <v>-5558.78</v>
      </c>
    </row>
    <row r="7483" spans="1:4" hidden="1" x14ac:dyDescent="0.25">
      <c r="A7483" t="s">
        <v>680</v>
      </c>
      <c r="B7483" t="s">
        <v>48</v>
      </c>
      <c r="C7483" s="2">
        <f>HYPERLINK("https://sao.dolgi.msk.ru/account/1404262853/", 1404262853)</f>
        <v>1404262853</v>
      </c>
      <c r="D7483">
        <v>-14160.58</v>
      </c>
    </row>
    <row r="7484" spans="1:4" hidden="1" x14ac:dyDescent="0.25">
      <c r="A7484" t="s">
        <v>680</v>
      </c>
      <c r="B7484" t="s">
        <v>49</v>
      </c>
      <c r="C7484" s="2">
        <f>HYPERLINK("https://sao.dolgi.msk.ru/account/1404263485/", 1404263485)</f>
        <v>1404263485</v>
      </c>
      <c r="D7484">
        <v>-8692.3700000000008</v>
      </c>
    </row>
    <row r="7485" spans="1:4" x14ac:dyDescent="0.25">
      <c r="A7485" t="s">
        <v>680</v>
      </c>
      <c r="B7485" t="s">
        <v>50</v>
      </c>
      <c r="C7485" s="2">
        <f>HYPERLINK("https://sao.dolgi.msk.ru/account/1404264023/", 1404264023)</f>
        <v>1404264023</v>
      </c>
      <c r="D7485">
        <v>4683.79</v>
      </c>
    </row>
    <row r="7486" spans="1:4" hidden="1" x14ac:dyDescent="0.25">
      <c r="A7486" t="s">
        <v>680</v>
      </c>
      <c r="B7486" t="s">
        <v>51</v>
      </c>
      <c r="C7486" s="2">
        <f>HYPERLINK("https://sao.dolgi.msk.ru/account/1404263979/", 1404263979)</f>
        <v>1404263979</v>
      </c>
      <c r="D7486">
        <v>0</v>
      </c>
    </row>
    <row r="7487" spans="1:4" hidden="1" x14ac:dyDescent="0.25">
      <c r="A7487" t="s">
        <v>680</v>
      </c>
      <c r="B7487" t="s">
        <v>52</v>
      </c>
      <c r="C7487" s="2">
        <f>HYPERLINK("https://sao.dolgi.msk.ru/account/1404264007/", 1404264007)</f>
        <v>1404264007</v>
      </c>
      <c r="D7487">
        <v>0</v>
      </c>
    </row>
    <row r="7488" spans="1:4" hidden="1" x14ac:dyDescent="0.25">
      <c r="A7488" t="s">
        <v>680</v>
      </c>
      <c r="B7488" t="s">
        <v>53</v>
      </c>
      <c r="C7488" s="2">
        <f>HYPERLINK("https://sao.dolgi.msk.ru/account/1404263821/", 1404263821)</f>
        <v>1404263821</v>
      </c>
      <c r="D7488">
        <v>-5331.18</v>
      </c>
    </row>
    <row r="7489" spans="1:4" hidden="1" x14ac:dyDescent="0.25">
      <c r="A7489" t="s">
        <v>680</v>
      </c>
      <c r="B7489" t="s">
        <v>54</v>
      </c>
      <c r="C7489" s="2">
        <f>HYPERLINK("https://sao.dolgi.msk.ru/account/1404263653/", 1404263653)</f>
        <v>1404263653</v>
      </c>
      <c r="D7489">
        <v>0</v>
      </c>
    </row>
    <row r="7490" spans="1:4" hidden="1" x14ac:dyDescent="0.25">
      <c r="A7490" t="s">
        <v>680</v>
      </c>
      <c r="B7490" t="s">
        <v>55</v>
      </c>
      <c r="C7490" s="2">
        <f>HYPERLINK("https://sao.dolgi.msk.ru/account/1404263258/", 1404263258)</f>
        <v>1404263258</v>
      </c>
      <c r="D7490">
        <v>0</v>
      </c>
    </row>
    <row r="7491" spans="1:4" hidden="1" x14ac:dyDescent="0.25">
      <c r="A7491" t="s">
        <v>680</v>
      </c>
      <c r="B7491" t="s">
        <v>56</v>
      </c>
      <c r="C7491" s="2">
        <f>HYPERLINK("https://sao.dolgi.msk.ru/account/1404263792/", 1404263792)</f>
        <v>1404263792</v>
      </c>
      <c r="D7491">
        <v>-8908.02</v>
      </c>
    </row>
    <row r="7492" spans="1:4" hidden="1" x14ac:dyDescent="0.25">
      <c r="A7492" t="s">
        <v>680</v>
      </c>
      <c r="B7492" t="s">
        <v>57</v>
      </c>
      <c r="C7492" s="2">
        <f>HYPERLINK("https://sao.dolgi.msk.ru/account/1404263952/", 1404263952)</f>
        <v>1404263952</v>
      </c>
      <c r="D7492">
        <v>0</v>
      </c>
    </row>
    <row r="7493" spans="1:4" hidden="1" x14ac:dyDescent="0.25">
      <c r="A7493" t="s">
        <v>680</v>
      </c>
      <c r="B7493" t="s">
        <v>58</v>
      </c>
      <c r="C7493" s="2">
        <f>HYPERLINK("https://sao.dolgi.msk.ru/account/1404264269/", 1404264269)</f>
        <v>1404264269</v>
      </c>
      <c r="D7493">
        <v>0</v>
      </c>
    </row>
    <row r="7494" spans="1:4" hidden="1" x14ac:dyDescent="0.25">
      <c r="A7494" t="s">
        <v>680</v>
      </c>
      <c r="B7494" t="s">
        <v>59</v>
      </c>
      <c r="C7494" s="2">
        <f>HYPERLINK("https://sao.dolgi.msk.ru/account/1404264322/", 1404264322)</f>
        <v>1404264322</v>
      </c>
      <c r="D7494">
        <v>-4321.1000000000004</v>
      </c>
    </row>
    <row r="7495" spans="1:4" hidden="1" x14ac:dyDescent="0.25">
      <c r="A7495" t="s">
        <v>680</v>
      </c>
      <c r="B7495" t="s">
        <v>60</v>
      </c>
      <c r="C7495" s="2">
        <f>HYPERLINK("https://sao.dolgi.msk.ru/account/1404263346/", 1404263346)</f>
        <v>1404263346</v>
      </c>
      <c r="D7495">
        <v>-7489.9</v>
      </c>
    </row>
    <row r="7496" spans="1:4" x14ac:dyDescent="0.25">
      <c r="A7496" t="s">
        <v>680</v>
      </c>
      <c r="B7496" t="s">
        <v>61</v>
      </c>
      <c r="C7496" s="2">
        <f>HYPERLINK("https://sao.dolgi.msk.ru/account/1404263442/", 1404263442)</f>
        <v>1404263442</v>
      </c>
      <c r="D7496">
        <v>11809.19</v>
      </c>
    </row>
    <row r="7497" spans="1:4" hidden="1" x14ac:dyDescent="0.25">
      <c r="A7497" t="s">
        <v>680</v>
      </c>
      <c r="B7497" t="s">
        <v>62</v>
      </c>
      <c r="C7497" s="2">
        <f>HYPERLINK("https://sao.dolgi.msk.ru/account/1404262888/", 1404262888)</f>
        <v>1404262888</v>
      </c>
      <c r="D7497">
        <v>-4832.9399999999996</v>
      </c>
    </row>
    <row r="7498" spans="1:4" x14ac:dyDescent="0.25">
      <c r="A7498" t="s">
        <v>680</v>
      </c>
      <c r="B7498" t="s">
        <v>63</v>
      </c>
      <c r="C7498" s="2">
        <f>HYPERLINK("https://sao.dolgi.msk.ru/account/1404263493/", 1404263493)</f>
        <v>1404263493</v>
      </c>
      <c r="D7498">
        <v>8689.65</v>
      </c>
    </row>
    <row r="7499" spans="1:4" hidden="1" x14ac:dyDescent="0.25">
      <c r="A7499" t="s">
        <v>680</v>
      </c>
      <c r="B7499" t="s">
        <v>64</v>
      </c>
      <c r="C7499" s="2">
        <f>HYPERLINK("https://sao.dolgi.msk.ru/account/1404263581/", 1404263581)</f>
        <v>1404263581</v>
      </c>
      <c r="D7499">
        <v>0</v>
      </c>
    </row>
    <row r="7500" spans="1:4" x14ac:dyDescent="0.25">
      <c r="A7500" t="s">
        <v>680</v>
      </c>
      <c r="B7500" t="s">
        <v>65</v>
      </c>
      <c r="C7500" s="2">
        <f>HYPERLINK("https://sao.dolgi.msk.ru/account/1404263856/", 1404263856)</f>
        <v>1404263856</v>
      </c>
      <c r="D7500">
        <v>37882.660000000003</v>
      </c>
    </row>
    <row r="7501" spans="1:4" hidden="1" x14ac:dyDescent="0.25">
      <c r="A7501" t="s">
        <v>680</v>
      </c>
      <c r="B7501" t="s">
        <v>66</v>
      </c>
      <c r="C7501" s="2">
        <f>HYPERLINK("https://sao.dolgi.msk.ru/account/1404263071/", 1404263071)</f>
        <v>1404263071</v>
      </c>
      <c r="D7501">
        <v>-4961.92</v>
      </c>
    </row>
    <row r="7502" spans="1:4" hidden="1" x14ac:dyDescent="0.25">
      <c r="A7502" t="s">
        <v>680</v>
      </c>
      <c r="B7502" t="s">
        <v>67</v>
      </c>
      <c r="C7502" s="2">
        <f>HYPERLINK("https://sao.dolgi.msk.ru/account/1404263733/", 1404263733)</f>
        <v>1404263733</v>
      </c>
      <c r="D7502">
        <v>0</v>
      </c>
    </row>
    <row r="7503" spans="1:4" x14ac:dyDescent="0.25">
      <c r="A7503" t="s">
        <v>680</v>
      </c>
      <c r="B7503" t="s">
        <v>68</v>
      </c>
      <c r="C7503" s="2">
        <f>HYPERLINK("https://sao.dolgi.msk.ru/account/1404264082/", 1404264082)</f>
        <v>1404264082</v>
      </c>
      <c r="D7503">
        <v>46179.71</v>
      </c>
    </row>
    <row r="7504" spans="1:4" hidden="1" x14ac:dyDescent="0.25">
      <c r="A7504" t="s">
        <v>680</v>
      </c>
      <c r="B7504" t="s">
        <v>69</v>
      </c>
      <c r="C7504" s="2">
        <f>HYPERLINK("https://sao.dolgi.msk.ru/account/1404263338/", 1404263338)</f>
        <v>1404263338</v>
      </c>
      <c r="D7504">
        <v>-7372.05</v>
      </c>
    </row>
    <row r="7505" spans="1:4" hidden="1" x14ac:dyDescent="0.25">
      <c r="A7505" t="s">
        <v>680</v>
      </c>
      <c r="B7505" t="s">
        <v>70</v>
      </c>
      <c r="C7505" s="2">
        <f>HYPERLINK("https://sao.dolgi.msk.ru/account/1404262992/", 1404262992)</f>
        <v>1404262992</v>
      </c>
      <c r="D7505">
        <v>-423.66</v>
      </c>
    </row>
    <row r="7506" spans="1:4" x14ac:dyDescent="0.25">
      <c r="A7506" t="s">
        <v>680</v>
      </c>
      <c r="B7506" t="s">
        <v>71</v>
      </c>
      <c r="C7506" s="2">
        <f>HYPERLINK("https://sao.dolgi.msk.ru/account/1404262941/", 1404262941)</f>
        <v>1404262941</v>
      </c>
      <c r="D7506">
        <v>893.74</v>
      </c>
    </row>
    <row r="7507" spans="1:4" hidden="1" x14ac:dyDescent="0.25">
      <c r="A7507" t="s">
        <v>680</v>
      </c>
      <c r="B7507" t="s">
        <v>72</v>
      </c>
      <c r="C7507" s="2">
        <f>HYPERLINK("https://sao.dolgi.msk.ru/account/1404263813/", 1404263813)</f>
        <v>1404263813</v>
      </c>
      <c r="D7507">
        <v>0</v>
      </c>
    </row>
    <row r="7508" spans="1:4" hidden="1" x14ac:dyDescent="0.25">
      <c r="A7508" t="s">
        <v>680</v>
      </c>
      <c r="B7508" t="s">
        <v>73</v>
      </c>
      <c r="C7508" s="2">
        <f>HYPERLINK("https://sao.dolgi.msk.ru/account/1404263645/", 1404263645)</f>
        <v>1404263645</v>
      </c>
      <c r="D7508">
        <v>-9511.4599999999991</v>
      </c>
    </row>
    <row r="7509" spans="1:4" x14ac:dyDescent="0.25">
      <c r="A7509" t="s">
        <v>680</v>
      </c>
      <c r="B7509" t="s">
        <v>74</v>
      </c>
      <c r="C7509" s="2">
        <f>HYPERLINK("https://sao.dolgi.msk.ru/account/1404264111/", 1404264111)</f>
        <v>1404264111</v>
      </c>
      <c r="D7509">
        <v>724.19</v>
      </c>
    </row>
    <row r="7510" spans="1:4" hidden="1" x14ac:dyDescent="0.25">
      <c r="A7510" t="s">
        <v>680</v>
      </c>
      <c r="B7510" t="s">
        <v>75</v>
      </c>
      <c r="C7510" s="2">
        <f>HYPERLINK("https://sao.dolgi.msk.ru/account/1404263135/", 1404263135)</f>
        <v>1404263135</v>
      </c>
      <c r="D7510">
        <v>-5046.24</v>
      </c>
    </row>
    <row r="7511" spans="1:4" hidden="1" x14ac:dyDescent="0.25">
      <c r="A7511" t="s">
        <v>680</v>
      </c>
      <c r="B7511" t="s">
        <v>76</v>
      </c>
      <c r="C7511" s="2">
        <f>HYPERLINK("https://sao.dolgi.msk.ru/account/1404263573/", 1404263573)</f>
        <v>1404263573</v>
      </c>
      <c r="D7511">
        <v>-6117.47</v>
      </c>
    </row>
    <row r="7512" spans="1:4" hidden="1" x14ac:dyDescent="0.25">
      <c r="A7512" t="s">
        <v>680</v>
      </c>
      <c r="B7512" t="s">
        <v>77</v>
      </c>
      <c r="C7512" s="2">
        <f>HYPERLINK("https://sao.dolgi.msk.ru/account/1404264242/", 1404264242)</f>
        <v>1404264242</v>
      </c>
      <c r="D7512">
        <v>0</v>
      </c>
    </row>
    <row r="7513" spans="1:4" hidden="1" x14ac:dyDescent="0.25">
      <c r="A7513" t="s">
        <v>680</v>
      </c>
      <c r="B7513" t="s">
        <v>78</v>
      </c>
      <c r="C7513" s="2">
        <f>HYPERLINK("https://sao.dolgi.msk.ru/account/1404263231/", 1404263231)</f>
        <v>1404263231</v>
      </c>
      <c r="D7513">
        <v>0</v>
      </c>
    </row>
    <row r="7514" spans="1:4" hidden="1" x14ac:dyDescent="0.25">
      <c r="A7514" t="s">
        <v>680</v>
      </c>
      <c r="B7514" t="s">
        <v>79</v>
      </c>
      <c r="C7514" s="2">
        <f>HYPERLINK("https://sao.dolgi.msk.ru/account/1404263127/", 1404263127)</f>
        <v>1404263127</v>
      </c>
      <c r="D7514">
        <v>-6279.64</v>
      </c>
    </row>
    <row r="7515" spans="1:4" hidden="1" x14ac:dyDescent="0.25">
      <c r="A7515" t="s">
        <v>680</v>
      </c>
      <c r="B7515" t="s">
        <v>80</v>
      </c>
      <c r="C7515" s="2">
        <f>HYPERLINK("https://sao.dolgi.msk.ru/account/1404262968/", 1404262968)</f>
        <v>1404262968</v>
      </c>
      <c r="D7515">
        <v>0</v>
      </c>
    </row>
    <row r="7516" spans="1:4" hidden="1" x14ac:dyDescent="0.25">
      <c r="A7516" t="s">
        <v>680</v>
      </c>
      <c r="B7516" t="s">
        <v>81</v>
      </c>
      <c r="C7516" s="2">
        <f>HYPERLINK("https://sao.dolgi.msk.ru/account/1404263928/", 1404263928)</f>
        <v>1404263928</v>
      </c>
      <c r="D7516">
        <v>-5165.41</v>
      </c>
    </row>
    <row r="7517" spans="1:4" hidden="1" x14ac:dyDescent="0.25">
      <c r="A7517" t="s">
        <v>680</v>
      </c>
      <c r="B7517" t="s">
        <v>82</v>
      </c>
      <c r="C7517" s="2">
        <f>HYPERLINK("https://sao.dolgi.msk.ru/account/1404263004/", 1404263004)</f>
        <v>1404263004</v>
      </c>
      <c r="D7517">
        <v>0</v>
      </c>
    </row>
    <row r="7518" spans="1:4" hidden="1" x14ac:dyDescent="0.25">
      <c r="A7518" t="s">
        <v>680</v>
      </c>
      <c r="B7518" t="s">
        <v>83</v>
      </c>
      <c r="C7518" s="2">
        <f>HYPERLINK("https://sao.dolgi.msk.ru/account/1404263848/", 1404263848)</f>
        <v>1404263848</v>
      </c>
      <c r="D7518">
        <v>-6463.46</v>
      </c>
    </row>
    <row r="7519" spans="1:4" x14ac:dyDescent="0.25">
      <c r="A7519" t="s">
        <v>680</v>
      </c>
      <c r="B7519" t="s">
        <v>84</v>
      </c>
      <c r="C7519" s="2">
        <f>HYPERLINK("https://sao.dolgi.msk.ru/account/1404264226/", 1404264226)</f>
        <v>1404264226</v>
      </c>
      <c r="D7519">
        <v>9116.84</v>
      </c>
    </row>
    <row r="7520" spans="1:4" hidden="1" x14ac:dyDescent="0.25">
      <c r="A7520" t="s">
        <v>680</v>
      </c>
      <c r="B7520" t="s">
        <v>85</v>
      </c>
      <c r="C7520" s="2">
        <f>HYPERLINK("https://sao.dolgi.msk.ru/account/1404264058/", 1404264058)</f>
        <v>1404264058</v>
      </c>
      <c r="D7520">
        <v>0</v>
      </c>
    </row>
    <row r="7521" spans="1:4" hidden="1" x14ac:dyDescent="0.25">
      <c r="A7521" t="s">
        <v>680</v>
      </c>
      <c r="B7521" t="s">
        <v>86</v>
      </c>
      <c r="C7521" s="2">
        <f>HYPERLINK("https://sao.dolgi.msk.ru/account/1404263207/", 1404263207)</f>
        <v>1404263207</v>
      </c>
      <c r="D7521">
        <v>-3944.52</v>
      </c>
    </row>
    <row r="7522" spans="1:4" hidden="1" x14ac:dyDescent="0.25">
      <c r="A7522" t="s">
        <v>680</v>
      </c>
      <c r="B7522" t="s">
        <v>87</v>
      </c>
      <c r="C7522" s="2">
        <f>HYPERLINK("https://sao.dolgi.msk.ru/account/1404263602/", 1404263602)</f>
        <v>1404263602</v>
      </c>
      <c r="D7522">
        <v>-2782.65</v>
      </c>
    </row>
    <row r="7523" spans="1:4" hidden="1" x14ac:dyDescent="0.25">
      <c r="A7523" t="s">
        <v>680</v>
      </c>
      <c r="B7523" t="s">
        <v>88</v>
      </c>
      <c r="C7523" s="2">
        <f>HYPERLINK("https://sao.dolgi.msk.ru/account/1404263901/", 1404263901)</f>
        <v>1404263901</v>
      </c>
      <c r="D7523">
        <v>-8629.17</v>
      </c>
    </row>
    <row r="7524" spans="1:4" x14ac:dyDescent="0.25">
      <c r="A7524" t="s">
        <v>680</v>
      </c>
      <c r="B7524" t="s">
        <v>89</v>
      </c>
      <c r="C7524" s="2">
        <f>HYPERLINK("https://sao.dolgi.msk.ru/account/1404262984/", 1404262984)</f>
        <v>1404262984</v>
      </c>
      <c r="D7524">
        <v>7379.1</v>
      </c>
    </row>
    <row r="7525" spans="1:4" hidden="1" x14ac:dyDescent="0.25">
      <c r="A7525" t="s">
        <v>680</v>
      </c>
      <c r="B7525" t="s">
        <v>90</v>
      </c>
      <c r="C7525" s="2">
        <f>HYPERLINK("https://sao.dolgi.msk.ru/account/1404263506/", 1404263506)</f>
        <v>1404263506</v>
      </c>
      <c r="D7525">
        <v>0</v>
      </c>
    </row>
    <row r="7526" spans="1:4" hidden="1" x14ac:dyDescent="0.25">
      <c r="A7526" t="s">
        <v>680</v>
      </c>
      <c r="B7526" t="s">
        <v>91</v>
      </c>
      <c r="C7526" s="2">
        <f>HYPERLINK("https://sao.dolgi.msk.ru/account/1404262845/", 1404262845)</f>
        <v>1404262845</v>
      </c>
      <c r="D7526">
        <v>0</v>
      </c>
    </row>
    <row r="7527" spans="1:4" hidden="1" x14ac:dyDescent="0.25">
      <c r="A7527" t="s">
        <v>680</v>
      </c>
      <c r="B7527" t="s">
        <v>92</v>
      </c>
      <c r="C7527" s="2">
        <f>HYPERLINK("https://sao.dolgi.msk.ru/account/1404264066/", 1404264066)</f>
        <v>1404264066</v>
      </c>
      <c r="D7527">
        <v>0</v>
      </c>
    </row>
    <row r="7528" spans="1:4" x14ac:dyDescent="0.25">
      <c r="A7528" t="s">
        <v>680</v>
      </c>
      <c r="B7528" t="s">
        <v>93</v>
      </c>
      <c r="C7528" s="2">
        <f>HYPERLINK("https://sao.dolgi.msk.ru/account/1404263565/", 1404263565)</f>
        <v>1404263565</v>
      </c>
      <c r="D7528">
        <v>6920.99</v>
      </c>
    </row>
    <row r="7529" spans="1:4" hidden="1" x14ac:dyDescent="0.25">
      <c r="A7529" t="s">
        <v>680</v>
      </c>
      <c r="B7529" t="s">
        <v>94</v>
      </c>
      <c r="C7529" s="2">
        <f>HYPERLINK("https://sao.dolgi.msk.ru/account/1404264357/", 1404264357)</f>
        <v>1404264357</v>
      </c>
      <c r="D7529">
        <v>-4509.3500000000004</v>
      </c>
    </row>
    <row r="7530" spans="1:4" hidden="1" x14ac:dyDescent="0.25">
      <c r="A7530" t="s">
        <v>680</v>
      </c>
      <c r="B7530" t="s">
        <v>95</v>
      </c>
      <c r="C7530" s="2">
        <f>HYPERLINK("https://sao.dolgi.msk.ru/account/1404263274/", 1404263274)</f>
        <v>1404263274</v>
      </c>
      <c r="D7530">
        <v>-4548.45</v>
      </c>
    </row>
    <row r="7531" spans="1:4" hidden="1" x14ac:dyDescent="0.25">
      <c r="A7531" t="s">
        <v>680</v>
      </c>
      <c r="B7531" t="s">
        <v>96</v>
      </c>
      <c r="C7531" s="2">
        <f>HYPERLINK("https://sao.dolgi.msk.ru/account/1404262917/", 1404262917)</f>
        <v>1404262917</v>
      </c>
      <c r="D7531">
        <v>0</v>
      </c>
    </row>
    <row r="7532" spans="1:4" hidden="1" x14ac:dyDescent="0.25">
      <c r="A7532" t="s">
        <v>680</v>
      </c>
      <c r="B7532" t="s">
        <v>97</v>
      </c>
      <c r="C7532" s="2">
        <f>HYPERLINK("https://sao.dolgi.msk.ru/account/1404263178/", 1404263178)</f>
        <v>1404263178</v>
      </c>
      <c r="D7532">
        <v>-3030.09</v>
      </c>
    </row>
    <row r="7533" spans="1:4" hidden="1" x14ac:dyDescent="0.25">
      <c r="A7533" t="s">
        <v>680</v>
      </c>
      <c r="B7533" t="s">
        <v>97</v>
      </c>
      <c r="C7533" s="2">
        <f>HYPERLINK("https://sao.dolgi.msk.ru/account/1404263768/", 1404263768)</f>
        <v>1404263768</v>
      </c>
      <c r="D7533">
        <v>-2255.98</v>
      </c>
    </row>
    <row r="7534" spans="1:4" hidden="1" x14ac:dyDescent="0.25">
      <c r="A7534" t="s">
        <v>680</v>
      </c>
      <c r="B7534" t="s">
        <v>98</v>
      </c>
      <c r="C7534" s="2">
        <f>HYPERLINK("https://sao.dolgi.msk.ru/account/1404263039/", 1404263039)</f>
        <v>1404263039</v>
      </c>
      <c r="D7534">
        <v>0</v>
      </c>
    </row>
    <row r="7535" spans="1:4" hidden="1" x14ac:dyDescent="0.25">
      <c r="A7535" t="s">
        <v>680</v>
      </c>
      <c r="B7535" t="s">
        <v>99</v>
      </c>
      <c r="C7535" s="2">
        <f>HYPERLINK("https://sao.dolgi.msk.ru/account/1404263514/", 1404263514)</f>
        <v>1404263514</v>
      </c>
      <c r="D7535">
        <v>-4684.91</v>
      </c>
    </row>
    <row r="7536" spans="1:4" hidden="1" x14ac:dyDescent="0.25">
      <c r="A7536" t="s">
        <v>680</v>
      </c>
      <c r="B7536" t="s">
        <v>100</v>
      </c>
      <c r="C7536" s="2">
        <f>HYPERLINK("https://sao.dolgi.msk.ru/account/1404263143/", 1404263143)</f>
        <v>1404263143</v>
      </c>
      <c r="D7536">
        <v>-3751.52</v>
      </c>
    </row>
    <row r="7537" spans="1:4" hidden="1" x14ac:dyDescent="0.25">
      <c r="A7537" t="s">
        <v>680</v>
      </c>
      <c r="B7537" t="s">
        <v>101</v>
      </c>
      <c r="C7537" s="2">
        <f>HYPERLINK("https://sao.dolgi.msk.ru/account/1404264306/", 1404264306)</f>
        <v>1404264306</v>
      </c>
      <c r="D7537">
        <v>-4395.18</v>
      </c>
    </row>
    <row r="7538" spans="1:4" hidden="1" x14ac:dyDescent="0.25">
      <c r="A7538" t="s">
        <v>680</v>
      </c>
      <c r="B7538" t="s">
        <v>102</v>
      </c>
      <c r="C7538" s="2">
        <f>HYPERLINK("https://sao.dolgi.msk.ru/account/1404263717/", 1404263717)</f>
        <v>1404263717</v>
      </c>
      <c r="D7538">
        <v>0</v>
      </c>
    </row>
    <row r="7539" spans="1:4" hidden="1" x14ac:dyDescent="0.25">
      <c r="A7539" t="s">
        <v>680</v>
      </c>
      <c r="B7539" t="s">
        <v>103</v>
      </c>
      <c r="C7539" s="2">
        <f>HYPERLINK("https://sao.dolgi.msk.ru/account/1404262896/", 1404262896)</f>
        <v>1404262896</v>
      </c>
      <c r="D7539">
        <v>-4730.25</v>
      </c>
    </row>
    <row r="7540" spans="1:4" hidden="1" x14ac:dyDescent="0.25">
      <c r="A7540" t="s">
        <v>680</v>
      </c>
      <c r="B7540" t="s">
        <v>104</v>
      </c>
      <c r="C7540" s="2">
        <f>HYPERLINK("https://sao.dolgi.msk.ru/account/1404263709/", 1404263709)</f>
        <v>1404263709</v>
      </c>
      <c r="D7540">
        <v>-10389.08</v>
      </c>
    </row>
    <row r="7541" spans="1:4" hidden="1" x14ac:dyDescent="0.25">
      <c r="A7541" t="s">
        <v>680</v>
      </c>
      <c r="B7541" t="s">
        <v>105</v>
      </c>
      <c r="C7541" s="2">
        <f>HYPERLINK("https://sao.dolgi.msk.ru/account/1404263987/", 1404263987)</f>
        <v>1404263987</v>
      </c>
      <c r="D7541">
        <v>-5489.29</v>
      </c>
    </row>
    <row r="7542" spans="1:4" hidden="1" x14ac:dyDescent="0.25">
      <c r="A7542" t="s">
        <v>680</v>
      </c>
      <c r="B7542" t="s">
        <v>106</v>
      </c>
      <c r="C7542" s="2">
        <f>HYPERLINK("https://sao.dolgi.msk.ru/account/1404263362/", 1404263362)</f>
        <v>1404263362</v>
      </c>
      <c r="D7542">
        <v>-3800.55</v>
      </c>
    </row>
    <row r="7543" spans="1:4" hidden="1" x14ac:dyDescent="0.25">
      <c r="A7543" t="s">
        <v>680</v>
      </c>
      <c r="B7543" t="s">
        <v>106</v>
      </c>
      <c r="C7543" s="2">
        <f>HYPERLINK("https://sao.dolgi.msk.ru/account/1404263688/", 1404263688)</f>
        <v>1404263688</v>
      </c>
      <c r="D7543">
        <v>-2286.6799999999998</v>
      </c>
    </row>
    <row r="7544" spans="1:4" hidden="1" x14ac:dyDescent="0.25">
      <c r="A7544" t="s">
        <v>680</v>
      </c>
      <c r="B7544" t="s">
        <v>107</v>
      </c>
      <c r="C7544" s="2">
        <f>HYPERLINK("https://sao.dolgi.msk.ru/account/1404263741/", 1404263741)</f>
        <v>1404263741</v>
      </c>
      <c r="D7544">
        <v>-4740.2299999999996</v>
      </c>
    </row>
    <row r="7545" spans="1:4" x14ac:dyDescent="0.25">
      <c r="A7545" t="s">
        <v>680</v>
      </c>
      <c r="B7545" t="s">
        <v>108</v>
      </c>
      <c r="C7545" s="2">
        <f>HYPERLINK("https://sao.dolgi.msk.ru/account/1404262773/", 1404262773)</f>
        <v>1404262773</v>
      </c>
      <c r="D7545">
        <v>7745.69</v>
      </c>
    </row>
    <row r="7546" spans="1:4" hidden="1" x14ac:dyDescent="0.25">
      <c r="A7546" t="s">
        <v>680</v>
      </c>
      <c r="B7546" t="s">
        <v>109</v>
      </c>
      <c r="C7546" s="2">
        <f>HYPERLINK("https://sao.dolgi.msk.ru/account/1404263063/", 1404263063)</f>
        <v>1404263063</v>
      </c>
      <c r="D7546">
        <v>0</v>
      </c>
    </row>
    <row r="7547" spans="1:4" hidden="1" x14ac:dyDescent="0.25">
      <c r="A7547" t="s">
        <v>680</v>
      </c>
      <c r="B7547" t="s">
        <v>110</v>
      </c>
      <c r="C7547" s="2">
        <f>HYPERLINK("https://sao.dolgi.msk.ru/account/1404264293/", 1404264293)</f>
        <v>1404264293</v>
      </c>
      <c r="D7547">
        <v>0</v>
      </c>
    </row>
    <row r="7548" spans="1:4" hidden="1" x14ac:dyDescent="0.25">
      <c r="A7548" t="s">
        <v>680</v>
      </c>
      <c r="B7548" t="s">
        <v>111</v>
      </c>
      <c r="C7548" s="2">
        <f>HYPERLINK("https://sao.dolgi.msk.ru/account/1404263282/", 1404263282)</f>
        <v>1404263282</v>
      </c>
      <c r="D7548">
        <v>-6261.01</v>
      </c>
    </row>
    <row r="7549" spans="1:4" hidden="1" x14ac:dyDescent="0.25">
      <c r="A7549" t="s">
        <v>680</v>
      </c>
      <c r="B7549" t="s">
        <v>112</v>
      </c>
      <c r="C7549" s="2">
        <f>HYPERLINK("https://sao.dolgi.msk.ru/account/1404263944/", 1404263944)</f>
        <v>1404263944</v>
      </c>
      <c r="D7549">
        <v>-8162.43</v>
      </c>
    </row>
    <row r="7550" spans="1:4" hidden="1" x14ac:dyDescent="0.25">
      <c r="A7550" t="s">
        <v>680</v>
      </c>
      <c r="B7550" t="s">
        <v>113</v>
      </c>
      <c r="C7550" s="2">
        <f>HYPERLINK("https://sao.dolgi.msk.ru/account/1404263434/", 1404263434)</f>
        <v>1404263434</v>
      </c>
      <c r="D7550">
        <v>0</v>
      </c>
    </row>
    <row r="7551" spans="1:4" hidden="1" x14ac:dyDescent="0.25">
      <c r="A7551" t="s">
        <v>680</v>
      </c>
      <c r="B7551" t="s">
        <v>114</v>
      </c>
      <c r="C7551" s="2">
        <f>HYPERLINK("https://sao.dolgi.msk.ru/account/1404263899/", 1404263899)</f>
        <v>1404263899</v>
      </c>
      <c r="D7551">
        <v>-5536.84</v>
      </c>
    </row>
    <row r="7552" spans="1:4" hidden="1" x14ac:dyDescent="0.25">
      <c r="A7552" t="s">
        <v>680</v>
      </c>
      <c r="B7552" t="s">
        <v>115</v>
      </c>
      <c r="C7552" s="2">
        <f>HYPERLINK("https://sao.dolgi.msk.ru/account/1404264138/", 1404264138)</f>
        <v>1404264138</v>
      </c>
      <c r="D7552">
        <v>-4095.31</v>
      </c>
    </row>
    <row r="7553" spans="1:4" x14ac:dyDescent="0.25">
      <c r="A7553" t="s">
        <v>680</v>
      </c>
      <c r="B7553" t="s">
        <v>116</v>
      </c>
      <c r="C7553" s="2">
        <f>HYPERLINK("https://sao.dolgi.msk.ru/account/1404264277/", 1404264277)</f>
        <v>1404264277</v>
      </c>
      <c r="D7553">
        <v>39002.75</v>
      </c>
    </row>
    <row r="7554" spans="1:4" x14ac:dyDescent="0.25">
      <c r="A7554" t="s">
        <v>680</v>
      </c>
      <c r="B7554" t="s">
        <v>117</v>
      </c>
      <c r="C7554" s="2">
        <f>HYPERLINK("https://sao.dolgi.msk.ru/account/1404263426/", 1404263426)</f>
        <v>1404263426</v>
      </c>
      <c r="D7554">
        <v>2140.04</v>
      </c>
    </row>
    <row r="7555" spans="1:4" x14ac:dyDescent="0.25">
      <c r="A7555" t="s">
        <v>680</v>
      </c>
      <c r="B7555" t="s">
        <v>118</v>
      </c>
      <c r="C7555" s="2">
        <f>HYPERLINK("https://sao.dolgi.msk.ru/account/1404264103/", 1404264103)</f>
        <v>1404264103</v>
      </c>
      <c r="D7555">
        <v>2891.94</v>
      </c>
    </row>
    <row r="7556" spans="1:4" hidden="1" x14ac:dyDescent="0.25">
      <c r="A7556" t="s">
        <v>680</v>
      </c>
      <c r="B7556" t="s">
        <v>119</v>
      </c>
      <c r="C7556" s="2">
        <f>HYPERLINK("https://sao.dolgi.msk.ru/account/1404263637/", 1404263637)</f>
        <v>1404263637</v>
      </c>
      <c r="D7556">
        <v>-6059.08</v>
      </c>
    </row>
    <row r="7557" spans="1:4" hidden="1" x14ac:dyDescent="0.25">
      <c r="A7557" t="s">
        <v>680</v>
      </c>
      <c r="B7557" t="s">
        <v>120</v>
      </c>
      <c r="C7557" s="2">
        <f>HYPERLINK("https://sao.dolgi.msk.ru/account/1404263151/", 1404263151)</f>
        <v>1404263151</v>
      </c>
      <c r="D7557">
        <v>0</v>
      </c>
    </row>
    <row r="7558" spans="1:4" x14ac:dyDescent="0.25">
      <c r="A7558" t="s">
        <v>680</v>
      </c>
      <c r="B7558" t="s">
        <v>121</v>
      </c>
      <c r="C7558" s="2">
        <f>HYPERLINK("https://sao.dolgi.msk.ru/account/1404263696/", 1404263696)</f>
        <v>1404263696</v>
      </c>
      <c r="D7558">
        <v>8380.58</v>
      </c>
    </row>
    <row r="7559" spans="1:4" hidden="1" x14ac:dyDescent="0.25">
      <c r="A7559" t="s">
        <v>680</v>
      </c>
      <c r="B7559" t="s">
        <v>122</v>
      </c>
      <c r="C7559" s="2">
        <f>HYPERLINK("https://sao.dolgi.msk.ru/account/1404263119/", 1404263119)</f>
        <v>1404263119</v>
      </c>
      <c r="D7559">
        <v>-4095.31</v>
      </c>
    </row>
    <row r="7560" spans="1:4" hidden="1" x14ac:dyDescent="0.25">
      <c r="A7560" t="s">
        <v>680</v>
      </c>
      <c r="B7560" t="s">
        <v>123</v>
      </c>
      <c r="C7560" s="2">
        <f>HYPERLINK("https://sao.dolgi.msk.ru/account/1404264146/", 1404264146)</f>
        <v>1404264146</v>
      </c>
      <c r="D7560">
        <v>-4871.0200000000004</v>
      </c>
    </row>
    <row r="7561" spans="1:4" hidden="1" x14ac:dyDescent="0.25">
      <c r="A7561" t="s">
        <v>680</v>
      </c>
      <c r="B7561" t="s">
        <v>124</v>
      </c>
      <c r="C7561" s="2">
        <f>HYPERLINK("https://sao.dolgi.msk.ru/account/1404264349/", 1404264349)</f>
        <v>1404264349</v>
      </c>
      <c r="D7561">
        <v>0</v>
      </c>
    </row>
    <row r="7562" spans="1:4" x14ac:dyDescent="0.25">
      <c r="A7562" t="s">
        <v>680</v>
      </c>
      <c r="B7562" t="s">
        <v>125</v>
      </c>
      <c r="C7562" s="2">
        <f>HYPERLINK("https://sao.dolgi.msk.ru/account/1404264154/", 1404264154)</f>
        <v>1404264154</v>
      </c>
      <c r="D7562">
        <v>10859.67</v>
      </c>
    </row>
    <row r="7563" spans="1:4" hidden="1" x14ac:dyDescent="0.25">
      <c r="A7563" t="s">
        <v>680</v>
      </c>
      <c r="B7563" t="s">
        <v>126</v>
      </c>
      <c r="C7563" s="2">
        <f>HYPERLINK("https://sao.dolgi.msk.ru/account/1404263194/", 1404263194)</f>
        <v>1404263194</v>
      </c>
      <c r="D7563">
        <v>-5307.85</v>
      </c>
    </row>
    <row r="7564" spans="1:4" hidden="1" x14ac:dyDescent="0.25">
      <c r="A7564" t="s">
        <v>680</v>
      </c>
      <c r="B7564" t="s">
        <v>127</v>
      </c>
      <c r="C7564" s="2">
        <f>HYPERLINK("https://sao.dolgi.msk.ru/account/1404263047/", 1404263047)</f>
        <v>1404263047</v>
      </c>
      <c r="D7564">
        <v>0</v>
      </c>
    </row>
    <row r="7565" spans="1:4" hidden="1" x14ac:dyDescent="0.25">
      <c r="A7565" t="s">
        <v>680</v>
      </c>
      <c r="B7565" t="s">
        <v>128</v>
      </c>
      <c r="C7565" s="2">
        <f>HYPERLINK("https://sao.dolgi.msk.ru/account/1404263776/", 1404263776)</f>
        <v>1404263776</v>
      </c>
      <c r="D7565">
        <v>0</v>
      </c>
    </row>
    <row r="7566" spans="1:4" hidden="1" x14ac:dyDescent="0.25">
      <c r="A7566" t="s">
        <v>680</v>
      </c>
      <c r="B7566" t="s">
        <v>129</v>
      </c>
      <c r="C7566" s="2">
        <f>HYPERLINK("https://sao.dolgi.msk.ru/account/1404264074/", 1404264074)</f>
        <v>1404264074</v>
      </c>
      <c r="D7566">
        <v>-7763.04</v>
      </c>
    </row>
    <row r="7567" spans="1:4" hidden="1" x14ac:dyDescent="0.25">
      <c r="A7567" t="s">
        <v>680</v>
      </c>
      <c r="B7567" t="s">
        <v>130</v>
      </c>
      <c r="C7567" s="2">
        <f>HYPERLINK("https://sao.dolgi.msk.ru/account/1404262925/", 1404262925)</f>
        <v>1404262925</v>
      </c>
      <c r="D7567">
        <v>-5345.93</v>
      </c>
    </row>
    <row r="7568" spans="1:4" hidden="1" x14ac:dyDescent="0.25">
      <c r="A7568" t="s">
        <v>680</v>
      </c>
      <c r="B7568" t="s">
        <v>131</v>
      </c>
      <c r="C7568" s="2">
        <f>HYPERLINK("https://sao.dolgi.msk.ru/account/1404263469/", 1404263469)</f>
        <v>1404263469</v>
      </c>
      <c r="D7568">
        <v>-4325.17</v>
      </c>
    </row>
    <row r="7569" spans="1:4" x14ac:dyDescent="0.25">
      <c r="A7569" t="s">
        <v>680</v>
      </c>
      <c r="B7569" t="s">
        <v>132</v>
      </c>
      <c r="C7569" s="2">
        <f>HYPERLINK("https://sao.dolgi.msk.ru/account/1404263864/", 1404263864)</f>
        <v>1404263864</v>
      </c>
      <c r="D7569">
        <v>10073.620000000001</v>
      </c>
    </row>
    <row r="7570" spans="1:4" hidden="1" x14ac:dyDescent="0.25">
      <c r="A7570" t="s">
        <v>681</v>
      </c>
      <c r="B7570" t="s">
        <v>292</v>
      </c>
      <c r="C7570" s="2">
        <f>HYPERLINK("https://sao.dolgi.msk.ru/account/1404265421/", 1404265421)</f>
        <v>1404265421</v>
      </c>
      <c r="D7570">
        <v>-6917.03</v>
      </c>
    </row>
    <row r="7571" spans="1:4" hidden="1" x14ac:dyDescent="0.25">
      <c r="A7571" t="s">
        <v>681</v>
      </c>
      <c r="B7571" t="s">
        <v>293</v>
      </c>
      <c r="C7571" s="2">
        <f>HYPERLINK("https://sao.dolgi.msk.ru/account/1404264373/", 1404264373)</f>
        <v>1404264373</v>
      </c>
      <c r="D7571">
        <v>-5572.17</v>
      </c>
    </row>
    <row r="7572" spans="1:4" x14ac:dyDescent="0.25">
      <c r="A7572" t="s">
        <v>681</v>
      </c>
      <c r="B7572" t="s">
        <v>294</v>
      </c>
      <c r="C7572" s="2">
        <f>HYPERLINK("https://sao.dolgi.msk.ru/account/1404264381/", 1404264381)</f>
        <v>1404264381</v>
      </c>
      <c r="D7572">
        <v>722.7</v>
      </c>
    </row>
    <row r="7573" spans="1:4" x14ac:dyDescent="0.25">
      <c r="A7573" t="s">
        <v>681</v>
      </c>
      <c r="B7573" t="s">
        <v>295</v>
      </c>
      <c r="C7573" s="2">
        <f>HYPERLINK("https://sao.dolgi.msk.ru/account/1404266387/", 1404266387)</f>
        <v>1404266387</v>
      </c>
      <c r="D7573">
        <v>4805.5</v>
      </c>
    </row>
    <row r="7574" spans="1:4" hidden="1" x14ac:dyDescent="0.25">
      <c r="A7574" t="s">
        <v>681</v>
      </c>
      <c r="B7574" t="s">
        <v>296</v>
      </c>
      <c r="C7574" s="2">
        <f>HYPERLINK("https://sao.dolgi.msk.ru/account/1404267304/", 1404267304)</f>
        <v>1404267304</v>
      </c>
      <c r="D7574">
        <v>0</v>
      </c>
    </row>
    <row r="7575" spans="1:4" hidden="1" x14ac:dyDescent="0.25">
      <c r="A7575" t="s">
        <v>681</v>
      </c>
      <c r="B7575" t="s">
        <v>297</v>
      </c>
      <c r="C7575" s="2">
        <f>HYPERLINK("https://sao.dolgi.msk.ru/account/1404267742/", 1404267742)</f>
        <v>1404267742</v>
      </c>
      <c r="D7575">
        <v>0</v>
      </c>
    </row>
    <row r="7576" spans="1:4" hidden="1" x14ac:dyDescent="0.25">
      <c r="A7576" t="s">
        <v>681</v>
      </c>
      <c r="B7576" t="s">
        <v>298</v>
      </c>
      <c r="C7576" s="2">
        <f>HYPERLINK("https://sao.dolgi.msk.ru/account/1404266053/", 1404266053)</f>
        <v>1404266053</v>
      </c>
      <c r="D7576">
        <v>0</v>
      </c>
    </row>
    <row r="7577" spans="1:4" hidden="1" x14ac:dyDescent="0.25">
      <c r="A7577" t="s">
        <v>681</v>
      </c>
      <c r="B7577" t="s">
        <v>299</v>
      </c>
      <c r="C7577" s="2">
        <f>HYPERLINK("https://sao.dolgi.msk.ru/account/1404267312/", 1404267312)</f>
        <v>1404267312</v>
      </c>
      <c r="D7577">
        <v>0</v>
      </c>
    </row>
    <row r="7578" spans="1:4" x14ac:dyDescent="0.25">
      <c r="A7578" t="s">
        <v>681</v>
      </c>
      <c r="B7578" t="s">
        <v>300</v>
      </c>
      <c r="C7578" s="2">
        <f>HYPERLINK("https://sao.dolgi.msk.ru/account/1404266061/", 1404266061)</f>
        <v>1404266061</v>
      </c>
      <c r="D7578">
        <v>1249.31</v>
      </c>
    </row>
    <row r="7579" spans="1:4" hidden="1" x14ac:dyDescent="0.25">
      <c r="A7579" t="s">
        <v>681</v>
      </c>
      <c r="B7579" t="s">
        <v>301</v>
      </c>
      <c r="C7579" s="2">
        <f>HYPERLINK("https://sao.dolgi.msk.ru/account/1404266862/", 1404266862)</f>
        <v>1404266862</v>
      </c>
      <c r="D7579">
        <v>-4623.12</v>
      </c>
    </row>
    <row r="7580" spans="1:4" hidden="1" x14ac:dyDescent="0.25">
      <c r="A7580" t="s">
        <v>681</v>
      </c>
      <c r="B7580" t="s">
        <v>302</v>
      </c>
      <c r="C7580" s="2">
        <f>HYPERLINK("https://sao.dolgi.msk.ru/account/1404266889/", 1404266889)</f>
        <v>1404266889</v>
      </c>
      <c r="D7580">
        <v>-2766.53</v>
      </c>
    </row>
    <row r="7581" spans="1:4" x14ac:dyDescent="0.25">
      <c r="A7581" t="s">
        <v>681</v>
      </c>
      <c r="B7581" t="s">
        <v>303</v>
      </c>
      <c r="C7581" s="2">
        <f>HYPERLINK("https://sao.dolgi.msk.ru/account/1404266088/", 1404266088)</f>
        <v>1404266088</v>
      </c>
      <c r="D7581">
        <v>19404.45</v>
      </c>
    </row>
    <row r="7582" spans="1:4" x14ac:dyDescent="0.25">
      <c r="A7582" t="s">
        <v>681</v>
      </c>
      <c r="B7582" t="s">
        <v>304</v>
      </c>
      <c r="C7582" s="2">
        <f>HYPERLINK("https://sao.dolgi.msk.ru/account/1404266563/", 1404266563)</f>
        <v>1404266563</v>
      </c>
      <c r="D7582">
        <v>8539.94</v>
      </c>
    </row>
    <row r="7583" spans="1:4" hidden="1" x14ac:dyDescent="0.25">
      <c r="A7583" t="s">
        <v>681</v>
      </c>
      <c r="B7583" t="s">
        <v>305</v>
      </c>
      <c r="C7583" s="2">
        <f>HYPERLINK("https://sao.dolgi.msk.ru/account/1404265085/", 1404265085)</f>
        <v>1404265085</v>
      </c>
      <c r="D7583">
        <v>-5516.35</v>
      </c>
    </row>
    <row r="7584" spans="1:4" x14ac:dyDescent="0.25">
      <c r="A7584" t="s">
        <v>681</v>
      </c>
      <c r="B7584" t="s">
        <v>306</v>
      </c>
      <c r="C7584" s="2">
        <f>HYPERLINK("https://sao.dolgi.msk.ru/account/1404266897/", 1404266897)</f>
        <v>1404266897</v>
      </c>
      <c r="D7584">
        <v>10673.52</v>
      </c>
    </row>
    <row r="7585" spans="1:4" hidden="1" x14ac:dyDescent="0.25">
      <c r="A7585" t="s">
        <v>681</v>
      </c>
      <c r="B7585" t="s">
        <v>307</v>
      </c>
      <c r="C7585" s="2">
        <f>HYPERLINK("https://sao.dolgi.msk.ru/account/1404266571/", 1404266571)</f>
        <v>1404266571</v>
      </c>
      <c r="D7585">
        <v>-6824.33</v>
      </c>
    </row>
    <row r="7586" spans="1:4" x14ac:dyDescent="0.25">
      <c r="A7586" t="s">
        <v>681</v>
      </c>
      <c r="B7586" t="s">
        <v>308</v>
      </c>
      <c r="C7586" s="2">
        <f>HYPERLINK("https://sao.dolgi.msk.ru/account/1404266096/", 1404266096)</f>
        <v>1404266096</v>
      </c>
      <c r="D7586">
        <v>8989.91</v>
      </c>
    </row>
    <row r="7587" spans="1:4" hidden="1" x14ac:dyDescent="0.25">
      <c r="A7587" t="s">
        <v>681</v>
      </c>
      <c r="B7587" t="s">
        <v>309</v>
      </c>
      <c r="C7587" s="2">
        <f>HYPERLINK("https://sao.dolgi.msk.ru/account/1404265632/", 1404265632)</f>
        <v>1404265632</v>
      </c>
      <c r="D7587">
        <v>-3812.02</v>
      </c>
    </row>
    <row r="7588" spans="1:4" hidden="1" x14ac:dyDescent="0.25">
      <c r="A7588" t="s">
        <v>681</v>
      </c>
      <c r="B7588" t="s">
        <v>310</v>
      </c>
      <c r="C7588" s="2">
        <f>HYPERLINK("https://sao.dolgi.msk.ru/account/1404265659/", 1404265659)</f>
        <v>1404265659</v>
      </c>
      <c r="D7588">
        <v>-4413.37</v>
      </c>
    </row>
    <row r="7589" spans="1:4" hidden="1" x14ac:dyDescent="0.25">
      <c r="A7589" t="s">
        <v>681</v>
      </c>
      <c r="B7589" t="s">
        <v>311</v>
      </c>
      <c r="C7589" s="2">
        <f>HYPERLINK("https://sao.dolgi.msk.ru/account/1404266598/", 1404266598)</f>
        <v>1404266598</v>
      </c>
      <c r="D7589">
        <v>0</v>
      </c>
    </row>
    <row r="7590" spans="1:4" x14ac:dyDescent="0.25">
      <c r="A7590" t="s">
        <v>681</v>
      </c>
      <c r="B7590" t="s">
        <v>312</v>
      </c>
      <c r="C7590" s="2">
        <f>HYPERLINK("https://sao.dolgi.msk.ru/account/1404264605/", 1404264605)</f>
        <v>1404264605</v>
      </c>
      <c r="D7590">
        <v>20044.12</v>
      </c>
    </row>
    <row r="7591" spans="1:4" hidden="1" x14ac:dyDescent="0.25">
      <c r="A7591" t="s">
        <v>681</v>
      </c>
      <c r="B7591" t="s">
        <v>313</v>
      </c>
      <c r="C7591" s="2">
        <f>HYPERLINK("https://sao.dolgi.msk.ru/account/1404267769/", 1404267769)</f>
        <v>1404267769</v>
      </c>
      <c r="D7591">
        <v>0</v>
      </c>
    </row>
    <row r="7592" spans="1:4" hidden="1" x14ac:dyDescent="0.25">
      <c r="A7592" t="s">
        <v>681</v>
      </c>
      <c r="B7592" t="s">
        <v>314</v>
      </c>
      <c r="C7592" s="2">
        <f>HYPERLINK("https://sao.dolgi.msk.ru/account/1404264613/", 1404264613)</f>
        <v>1404264613</v>
      </c>
      <c r="D7592">
        <v>-4424.79</v>
      </c>
    </row>
    <row r="7593" spans="1:4" hidden="1" x14ac:dyDescent="0.25">
      <c r="A7593" t="s">
        <v>681</v>
      </c>
      <c r="B7593" t="s">
        <v>315</v>
      </c>
      <c r="C7593" s="2">
        <f>HYPERLINK("https://sao.dolgi.msk.ru/account/1404266619/", 1404266619)</f>
        <v>1404266619</v>
      </c>
      <c r="D7593">
        <v>-6385.93</v>
      </c>
    </row>
    <row r="7594" spans="1:4" hidden="1" x14ac:dyDescent="0.25">
      <c r="A7594" t="s">
        <v>681</v>
      </c>
      <c r="B7594" t="s">
        <v>316</v>
      </c>
      <c r="C7594" s="2">
        <f>HYPERLINK("https://sao.dolgi.msk.ru/account/1404266109/", 1404266109)</f>
        <v>1404266109</v>
      </c>
      <c r="D7594">
        <v>0</v>
      </c>
    </row>
    <row r="7595" spans="1:4" hidden="1" x14ac:dyDescent="0.25">
      <c r="A7595" t="s">
        <v>681</v>
      </c>
      <c r="B7595" t="s">
        <v>317</v>
      </c>
      <c r="C7595" s="2">
        <f>HYPERLINK("https://sao.dolgi.msk.ru/account/1404266918/", 1404266918)</f>
        <v>1404266918</v>
      </c>
      <c r="D7595">
        <v>-4070.99</v>
      </c>
    </row>
    <row r="7596" spans="1:4" x14ac:dyDescent="0.25">
      <c r="A7596" t="s">
        <v>681</v>
      </c>
      <c r="B7596" t="s">
        <v>318</v>
      </c>
      <c r="C7596" s="2">
        <f>HYPERLINK("https://sao.dolgi.msk.ru/account/1404267515/", 1404267515)</f>
        <v>1404267515</v>
      </c>
      <c r="D7596">
        <v>3375.84</v>
      </c>
    </row>
    <row r="7597" spans="1:4" hidden="1" x14ac:dyDescent="0.25">
      <c r="A7597" t="s">
        <v>681</v>
      </c>
      <c r="B7597" t="s">
        <v>319</v>
      </c>
      <c r="C7597" s="2">
        <f>HYPERLINK("https://sao.dolgi.msk.ru/account/1404264816/", 1404264816)</f>
        <v>1404264816</v>
      </c>
      <c r="D7597">
        <v>-6525.46</v>
      </c>
    </row>
    <row r="7598" spans="1:4" x14ac:dyDescent="0.25">
      <c r="A7598" t="s">
        <v>681</v>
      </c>
      <c r="B7598" t="s">
        <v>422</v>
      </c>
      <c r="C7598" s="2">
        <f>HYPERLINK("https://sao.dolgi.msk.ru/account/1404266272/", 1404266272)</f>
        <v>1404266272</v>
      </c>
      <c r="D7598">
        <v>7510.72</v>
      </c>
    </row>
    <row r="7599" spans="1:4" hidden="1" x14ac:dyDescent="0.25">
      <c r="A7599" t="s">
        <v>681</v>
      </c>
      <c r="B7599" t="s">
        <v>423</v>
      </c>
      <c r="C7599" s="2">
        <f>HYPERLINK("https://sao.dolgi.msk.ru/account/1404266678/", 1404266678)</f>
        <v>1404266678</v>
      </c>
      <c r="D7599">
        <v>0</v>
      </c>
    </row>
    <row r="7600" spans="1:4" hidden="1" x14ac:dyDescent="0.25">
      <c r="A7600" t="s">
        <v>681</v>
      </c>
      <c r="B7600" t="s">
        <v>424</v>
      </c>
      <c r="C7600" s="2">
        <f>HYPERLINK("https://sao.dolgi.msk.ru/account/1404264824/", 1404264824)</f>
        <v>1404264824</v>
      </c>
      <c r="D7600">
        <v>-4278.2700000000004</v>
      </c>
    </row>
    <row r="7601" spans="1:4" hidden="1" x14ac:dyDescent="0.25">
      <c r="A7601" t="s">
        <v>681</v>
      </c>
      <c r="B7601" t="s">
        <v>425</v>
      </c>
      <c r="C7601" s="2">
        <f>HYPERLINK("https://sao.dolgi.msk.ru/account/1404265309/", 1404265309)</f>
        <v>1404265309</v>
      </c>
      <c r="D7601">
        <v>0</v>
      </c>
    </row>
    <row r="7602" spans="1:4" hidden="1" x14ac:dyDescent="0.25">
      <c r="A7602" t="s">
        <v>681</v>
      </c>
      <c r="B7602" t="s">
        <v>426</v>
      </c>
      <c r="C7602" s="2">
        <f>HYPERLINK("https://sao.dolgi.msk.ru/account/1404266299/", 1404266299)</f>
        <v>1404266299</v>
      </c>
      <c r="D7602">
        <v>0</v>
      </c>
    </row>
    <row r="7603" spans="1:4" x14ac:dyDescent="0.25">
      <c r="A7603" t="s">
        <v>681</v>
      </c>
      <c r="B7603" t="s">
        <v>427</v>
      </c>
      <c r="C7603" s="2">
        <f>HYPERLINK("https://sao.dolgi.msk.ru/account/1404267021/", 1404267021)</f>
        <v>1404267021</v>
      </c>
      <c r="D7603">
        <v>31416.94</v>
      </c>
    </row>
    <row r="7604" spans="1:4" hidden="1" x14ac:dyDescent="0.25">
      <c r="A7604" t="s">
        <v>681</v>
      </c>
      <c r="B7604" t="s">
        <v>428</v>
      </c>
      <c r="C7604" s="2">
        <f>HYPERLINK("https://sao.dolgi.msk.ru/account/1404265317/", 1404265317)</f>
        <v>1404265317</v>
      </c>
      <c r="D7604">
        <v>0</v>
      </c>
    </row>
    <row r="7605" spans="1:4" x14ac:dyDescent="0.25">
      <c r="A7605" t="s">
        <v>681</v>
      </c>
      <c r="B7605" t="s">
        <v>321</v>
      </c>
      <c r="C7605" s="2">
        <f>HYPERLINK("https://sao.dolgi.msk.ru/account/1404265325/", 1404265325)</f>
        <v>1404265325</v>
      </c>
      <c r="D7605">
        <v>6091.24</v>
      </c>
    </row>
    <row r="7606" spans="1:4" hidden="1" x14ac:dyDescent="0.25">
      <c r="A7606" t="s">
        <v>681</v>
      </c>
      <c r="B7606" t="s">
        <v>321</v>
      </c>
      <c r="C7606" s="2">
        <f>HYPERLINK("https://sao.dolgi.msk.ru/account/1404267523/", 1404267523)</f>
        <v>1404267523</v>
      </c>
      <c r="D7606">
        <v>-6241.56</v>
      </c>
    </row>
    <row r="7607" spans="1:4" hidden="1" x14ac:dyDescent="0.25">
      <c r="A7607" t="s">
        <v>681</v>
      </c>
      <c r="B7607" t="s">
        <v>322</v>
      </c>
      <c r="C7607" s="2">
        <f>HYPERLINK("https://sao.dolgi.msk.ru/account/1404267048/", 1404267048)</f>
        <v>1404267048</v>
      </c>
      <c r="D7607">
        <v>0</v>
      </c>
    </row>
    <row r="7608" spans="1:4" hidden="1" x14ac:dyDescent="0.25">
      <c r="A7608" t="s">
        <v>681</v>
      </c>
      <c r="B7608" t="s">
        <v>323</v>
      </c>
      <c r="C7608" s="2">
        <f>HYPERLINK("https://sao.dolgi.msk.ru/account/1404265755/", 1404265755)</f>
        <v>1404265755</v>
      </c>
      <c r="D7608">
        <v>-5692.48</v>
      </c>
    </row>
    <row r="7609" spans="1:4" hidden="1" x14ac:dyDescent="0.25">
      <c r="A7609" t="s">
        <v>681</v>
      </c>
      <c r="B7609" t="s">
        <v>324</v>
      </c>
      <c r="C7609" s="2">
        <f>HYPERLINK("https://sao.dolgi.msk.ru/account/1404266301/", 1404266301)</f>
        <v>1404266301</v>
      </c>
      <c r="D7609">
        <v>-3928.86</v>
      </c>
    </row>
    <row r="7610" spans="1:4" x14ac:dyDescent="0.25">
      <c r="A7610" t="s">
        <v>681</v>
      </c>
      <c r="B7610" t="s">
        <v>325</v>
      </c>
      <c r="C7610" s="2">
        <f>HYPERLINK("https://sao.dolgi.msk.ru/account/1404267531/", 1404267531)</f>
        <v>1404267531</v>
      </c>
      <c r="D7610">
        <v>34877.35</v>
      </c>
    </row>
    <row r="7611" spans="1:4" hidden="1" x14ac:dyDescent="0.25">
      <c r="A7611" t="s">
        <v>681</v>
      </c>
      <c r="B7611" t="s">
        <v>326</v>
      </c>
      <c r="C7611" s="2">
        <f>HYPERLINK("https://sao.dolgi.msk.ru/account/1404267849/", 1404267849)</f>
        <v>1404267849</v>
      </c>
      <c r="D7611">
        <v>0</v>
      </c>
    </row>
    <row r="7612" spans="1:4" hidden="1" x14ac:dyDescent="0.25">
      <c r="A7612" t="s">
        <v>681</v>
      </c>
      <c r="B7612" t="s">
        <v>327</v>
      </c>
      <c r="C7612" s="2">
        <f>HYPERLINK("https://sao.dolgi.msk.ru/account/1404266758/", 1404266758)</f>
        <v>1404266758</v>
      </c>
      <c r="D7612">
        <v>0</v>
      </c>
    </row>
    <row r="7613" spans="1:4" hidden="1" x14ac:dyDescent="0.25">
      <c r="A7613" t="s">
        <v>681</v>
      </c>
      <c r="B7613" t="s">
        <v>328</v>
      </c>
      <c r="C7613" s="2">
        <f>HYPERLINK("https://sao.dolgi.msk.ru/account/1404266395/", 1404266395)</f>
        <v>1404266395</v>
      </c>
      <c r="D7613">
        <v>-5457.07</v>
      </c>
    </row>
    <row r="7614" spans="1:4" hidden="1" x14ac:dyDescent="0.25">
      <c r="A7614" t="s">
        <v>681</v>
      </c>
      <c r="B7614" t="s">
        <v>329</v>
      </c>
      <c r="C7614" s="2">
        <f>HYPERLINK("https://sao.dolgi.msk.ru/account/1404265448/", 1404265448)</f>
        <v>1404265448</v>
      </c>
      <c r="D7614">
        <v>0</v>
      </c>
    </row>
    <row r="7615" spans="1:4" x14ac:dyDescent="0.25">
      <c r="A7615" t="s">
        <v>681</v>
      </c>
      <c r="B7615" t="s">
        <v>330</v>
      </c>
      <c r="C7615" s="2">
        <f>HYPERLINK("https://sao.dolgi.msk.ru/account/1404264402/", 1404264402)</f>
        <v>1404264402</v>
      </c>
      <c r="D7615">
        <v>27339.97</v>
      </c>
    </row>
    <row r="7616" spans="1:4" hidden="1" x14ac:dyDescent="0.25">
      <c r="A7616" t="s">
        <v>681</v>
      </c>
      <c r="B7616" t="s">
        <v>331</v>
      </c>
      <c r="C7616" s="2">
        <f>HYPERLINK("https://sao.dolgi.msk.ru/account/1404266408/", 1404266408)</f>
        <v>1404266408</v>
      </c>
      <c r="D7616">
        <v>-5321.87</v>
      </c>
    </row>
    <row r="7617" spans="1:4" x14ac:dyDescent="0.25">
      <c r="A7617" t="s">
        <v>681</v>
      </c>
      <c r="B7617" t="s">
        <v>332</v>
      </c>
      <c r="C7617" s="2">
        <f>HYPERLINK("https://sao.dolgi.msk.ru/account/1404264429/", 1404264429)</f>
        <v>1404264429</v>
      </c>
      <c r="D7617">
        <v>54119.839999999997</v>
      </c>
    </row>
    <row r="7618" spans="1:4" hidden="1" x14ac:dyDescent="0.25">
      <c r="A7618" t="s">
        <v>681</v>
      </c>
      <c r="B7618" t="s">
        <v>333</v>
      </c>
      <c r="C7618" s="2">
        <f>HYPERLINK("https://sao.dolgi.msk.ru/account/1404267582/", 1404267582)</f>
        <v>1404267582</v>
      </c>
      <c r="D7618">
        <v>-4348.26</v>
      </c>
    </row>
    <row r="7619" spans="1:4" hidden="1" x14ac:dyDescent="0.25">
      <c r="A7619" t="s">
        <v>681</v>
      </c>
      <c r="B7619" t="s">
        <v>334</v>
      </c>
      <c r="C7619" s="2">
        <f>HYPERLINK("https://sao.dolgi.msk.ru/account/1404265878/", 1404265878)</f>
        <v>1404265878</v>
      </c>
      <c r="D7619">
        <v>-14420.49</v>
      </c>
    </row>
    <row r="7620" spans="1:4" hidden="1" x14ac:dyDescent="0.25">
      <c r="A7620" t="s">
        <v>681</v>
      </c>
      <c r="B7620" t="s">
        <v>335</v>
      </c>
      <c r="C7620" s="2">
        <f>HYPERLINK("https://sao.dolgi.msk.ru/account/1404265456/", 1404265456)</f>
        <v>1404265456</v>
      </c>
      <c r="D7620">
        <v>-1758.73</v>
      </c>
    </row>
    <row r="7621" spans="1:4" hidden="1" x14ac:dyDescent="0.25">
      <c r="A7621" t="s">
        <v>681</v>
      </c>
      <c r="B7621" t="s">
        <v>336</v>
      </c>
      <c r="C7621" s="2">
        <f>HYPERLINK("https://sao.dolgi.msk.ru/account/1404266504/", 1404266504)</f>
        <v>1404266504</v>
      </c>
      <c r="D7621">
        <v>-6606.22</v>
      </c>
    </row>
    <row r="7622" spans="1:4" hidden="1" x14ac:dyDescent="0.25">
      <c r="A7622" t="s">
        <v>681</v>
      </c>
      <c r="B7622" t="s">
        <v>337</v>
      </c>
      <c r="C7622" s="2">
        <f>HYPERLINK("https://sao.dolgi.msk.ru/account/1404266512/", 1404266512)</f>
        <v>1404266512</v>
      </c>
      <c r="D7622">
        <v>-7004.83</v>
      </c>
    </row>
    <row r="7623" spans="1:4" hidden="1" x14ac:dyDescent="0.25">
      <c r="A7623" t="s">
        <v>681</v>
      </c>
      <c r="B7623" t="s">
        <v>338</v>
      </c>
      <c r="C7623" s="2">
        <f>HYPERLINK("https://sao.dolgi.msk.ru/account/1404266838/", 1404266838)</f>
        <v>1404266838</v>
      </c>
      <c r="D7623">
        <v>-4456.37</v>
      </c>
    </row>
    <row r="7624" spans="1:4" hidden="1" x14ac:dyDescent="0.25">
      <c r="A7624" t="s">
        <v>681</v>
      </c>
      <c r="B7624" t="s">
        <v>339</v>
      </c>
      <c r="C7624" s="2">
        <f>HYPERLINK("https://sao.dolgi.msk.ru/account/1404267697/", 1404267697)</f>
        <v>1404267697</v>
      </c>
      <c r="D7624">
        <v>-7280.2</v>
      </c>
    </row>
    <row r="7625" spans="1:4" hidden="1" x14ac:dyDescent="0.25">
      <c r="A7625" t="s">
        <v>681</v>
      </c>
      <c r="B7625" t="s">
        <v>340</v>
      </c>
      <c r="C7625" s="2">
        <f>HYPERLINK("https://sao.dolgi.msk.ru/account/1404267267/", 1404267267)</f>
        <v>1404267267</v>
      </c>
      <c r="D7625">
        <v>-2393.7600000000002</v>
      </c>
    </row>
    <row r="7626" spans="1:4" x14ac:dyDescent="0.25">
      <c r="A7626" t="s">
        <v>681</v>
      </c>
      <c r="B7626" t="s">
        <v>341</v>
      </c>
      <c r="C7626" s="2">
        <f>HYPERLINK("https://sao.dolgi.msk.ru/account/1404267718/", 1404267718)</f>
        <v>1404267718</v>
      </c>
      <c r="D7626">
        <v>7942.8</v>
      </c>
    </row>
    <row r="7627" spans="1:4" hidden="1" x14ac:dyDescent="0.25">
      <c r="A7627" t="s">
        <v>681</v>
      </c>
      <c r="B7627" t="s">
        <v>342</v>
      </c>
      <c r="C7627" s="2">
        <f>HYPERLINK("https://sao.dolgi.msk.ru/account/1404266846/", 1404266846)</f>
        <v>1404266846</v>
      </c>
      <c r="D7627">
        <v>-4672.7</v>
      </c>
    </row>
    <row r="7628" spans="1:4" hidden="1" x14ac:dyDescent="0.25">
      <c r="A7628" t="s">
        <v>681</v>
      </c>
      <c r="B7628" t="s">
        <v>343</v>
      </c>
      <c r="C7628" s="2">
        <f>HYPERLINK("https://sao.dolgi.msk.ru/account/1404264576/", 1404264576)</f>
        <v>1404264576</v>
      </c>
      <c r="D7628">
        <v>0</v>
      </c>
    </row>
    <row r="7629" spans="1:4" x14ac:dyDescent="0.25">
      <c r="A7629" t="s">
        <v>681</v>
      </c>
      <c r="B7629" t="s">
        <v>344</v>
      </c>
      <c r="C7629" s="2">
        <f>HYPERLINK("https://sao.dolgi.msk.ru/account/1404267726/", 1404267726)</f>
        <v>1404267726</v>
      </c>
      <c r="D7629">
        <v>2527.1999999999998</v>
      </c>
    </row>
    <row r="7630" spans="1:4" hidden="1" x14ac:dyDescent="0.25">
      <c r="A7630" t="s">
        <v>681</v>
      </c>
      <c r="B7630" t="s">
        <v>345</v>
      </c>
      <c r="C7630" s="2">
        <f>HYPERLINK("https://sao.dolgi.msk.ru/account/1404267275/", 1404267275)</f>
        <v>1404267275</v>
      </c>
      <c r="D7630">
        <v>-8439.0499999999993</v>
      </c>
    </row>
    <row r="7631" spans="1:4" hidden="1" x14ac:dyDescent="0.25">
      <c r="A7631" t="s">
        <v>681</v>
      </c>
      <c r="B7631" t="s">
        <v>346</v>
      </c>
      <c r="C7631" s="2">
        <f>HYPERLINK("https://sao.dolgi.msk.ru/account/1404264584/", 1404264584)</f>
        <v>1404264584</v>
      </c>
      <c r="D7631">
        <v>0</v>
      </c>
    </row>
    <row r="7632" spans="1:4" hidden="1" x14ac:dyDescent="0.25">
      <c r="A7632" t="s">
        <v>681</v>
      </c>
      <c r="B7632" t="s">
        <v>347</v>
      </c>
      <c r="C7632" s="2">
        <f>HYPERLINK("https://sao.dolgi.msk.ru/account/1404265616/", 1404265616)</f>
        <v>1404265616</v>
      </c>
      <c r="D7632">
        <v>-4650.54</v>
      </c>
    </row>
    <row r="7633" spans="1:4" hidden="1" x14ac:dyDescent="0.25">
      <c r="A7633" t="s">
        <v>681</v>
      </c>
      <c r="B7633" t="s">
        <v>348</v>
      </c>
      <c r="C7633" s="2">
        <f>HYPERLINK("https://sao.dolgi.msk.ru/account/1404267283/", 1404267283)</f>
        <v>1404267283</v>
      </c>
      <c r="D7633">
        <v>-3732.37</v>
      </c>
    </row>
    <row r="7634" spans="1:4" x14ac:dyDescent="0.25">
      <c r="A7634" t="s">
        <v>681</v>
      </c>
      <c r="B7634" t="s">
        <v>349</v>
      </c>
      <c r="C7634" s="2">
        <f>HYPERLINK("https://sao.dolgi.msk.ru/account/1404266854/", 1404266854)</f>
        <v>1404266854</v>
      </c>
      <c r="D7634">
        <v>8181.23</v>
      </c>
    </row>
    <row r="7635" spans="1:4" hidden="1" x14ac:dyDescent="0.25">
      <c r="A7635" t="s">
        <v>681</v>
      </c>
      <c r="B7635" t="s">
        <v>350</v>
      </c>
      <c r="C7635" s="2">
        <f>HYPERLINK("https://sao.dolgi.msk.ru/account/1404264592/", 1404264592)</f>
        <v>1404264592</v>
      </c>
      <c r="D7635">
        <v>0</v>
      </c>
    </row>
    <row r="7636" spans="1:4" hidden="1" x14ac:dyDescent="0.25">
      <c r="A7636" t="s">
        <v>681</v>
      </c>
      <c r="B7636" t="s">
        <v>351</v>
      </c>
      <c r="C7636" s="2">
        <f>HYPERLINK("https://sao.dolgi.msk.ru/account/1404266539/", 1404266539)</f>
        <v>1404266539</v>
      </c>
      <c r="D7636">
        <v>0</v>
      </c>
    </row>
    <row r="7637" spans="1:4" hidden="1" x14ac:dyDescent="0.25">
      <c r="A7637" t="s">
        <v>681</v>
      </c>
      <c r="B7637" t="s">
        <v>352</v>
      </c>
      <c r="C7637" s="2">
        <f>HYPERLINK("https://sao.dolgi.msk.ru/account/1404267291/", 1404267291)</f>
        <v>1404267291</v>
      </c>
      <c r="D7637">
        <v>0</v>
      </c>
    </row>
    <row r="7638" spans="1:4" hidden="1" x14ac:dyDescent="0.25">
      <c r="A7638" t="s">
        <v>681</v>
      </c>
      <c r="B7638" t="s">
        <v>353</v>
      </c>
      <c r="C7638" s="2">
        <f>HYPERLINK("https://sao.dolgi.msk.ru/account/1404265077/", 1404265077)</f>
        <v>1404265077</v>
      </c>
      <c r="D7638">
        <v>0</v>
      </c>
    </row>
    <row r="7639" spans="1:4" hidden="1" x14ac:dyDescent="0.25">
      <c r="A7639" t="s">
        <v>681</v>
      </c>
      <c r="B7639" t="s">
        <v>354</v>
      </c>
      <c r="C7639" s="2">
        <f>HYPERLINK("https://sao.dolgi.msk.ru/account/1404266547/", 1404266547)</f>
        <v>1404266547</v>
      </c>
      <c r="D7639">
        <v>-6940.14</v>
      </c>
    </row>
    <row r="7640" spans="1:4" hidden="1" x14ac:dyDescent="0.25">
      <c r="A7640" t="s">
        <v>681</v>
      </c>
      <c r="B7640" t="s">
        <v>355</v>
      </c>
      <c r="C7640" s="2">
        <f>HYPERLINK("https://sao.dolgi.msk.ru/account/1404266037/", 1404266037)</f>
        <v>1404266037</v>
      </c>
      <c r="D7640">
        <v>-4725.2700000000004</v>
      </c>
    </row>
    <row r="7641" spans="1:4" hidden="1" x14ac:dyDescent="0.25">
      <c r="A7641" t="s">
        <v>681</v>
      </c>
      <c r="B7641" t="s">
        <v>356</v>
      </c>
      <c r="C7641" s="2">
        <f>HYPERLINK("https://sao.dolgi.msk.ru/account/1404267734/", 1404267734)</f>
        <v>1404267734</v>
      </c>
      <c r="D7641">
        <v>-4069.29</v>
      </c>
    </row>
    <row r="7642" spans="1:4" hidden="1" x14ac:dyDescent="0.25">
      <c r="A7642" t="s">
        <v>681</v>
      </c>
      <c r="B7642" t="s">
        <v>357</v>
      </c>
      <c r="C7642" s="2">
        <f>HYPERLINK("https://sao.dolgi.msk.ru/account/1404265608/", 1404265608)</f>
        <v>1404265608</v>
      </c>
      <c r="D7642">
        <v>0</v>
      </c>
    </row>
    <row r="7643" spans="1:4" hidden="1" x14ac:dyDescent="0.25">
      <c r="A7643" t="s">
        <v>681</v>
      </c>
      <c r="B7643" t="s">
        <v>358</v>
      </c>
      <c r="C7643" s="2">
        <f>HYPERLINK("https://sao.dolgi.msk.ru/account/1404266555/", 1404266555)</f>
        <v>1404266555</v>
      </c>
      <c r="D7643">
        <v>-9608.51</v>
      </c>
    </row>
    <row r="7644" spans="1:4" x14ac:dyDescent="0.25">
      <c r="A7644" t="s">
        <v>681</v>
      </c>
      <c r="B7644" t="s">
        <v>359</v>
      </c>
      <c r="C7644" s="2">
        <f>HYPERLINK("https://sao.dolgi.msk.ru/account/1404266045/", 1404266045)</f>
        <v>1404266045</v>
      </c>
      <c r="D7644">
        <v>33018.61</v>
      </c>
    </row>
    <row r="7645" spans="1:4" hidden="1" x14ac:dyDescent="0.25">
      <c r="A7645" t="s">
        <v>681</v>
      </c>
      <c r="B7645" t="s">
        <v>360</v>
      </c>
      <c r="C7645" s="2">
        <f>HYPERLINK("https://sao.dolgi.msk.ru/account/1404265624/", 1404265624)</f>
        <v>1404265624</v>
      </c>
      <c r="D7645">
        <v>0</v>
      </c>
    </row>
    <row r="7646" spans="1:4" hidden="1" x14ac:dyDescent="0.25">
      <c r="A7646" t="s">
        <v>681</v>
      </c>
      <c r="B7646" t="s">
        <v>360</v>
      </c>
      <c r="C7646" s="2">
        <f>HYPERLINK("https://sao.dolgi.msk.ru/account/1404266141/", 1404266141)</f>
        <v>1404266141</v>
      </c>
      <c r="D7646">
        <v>0</v>
      </c>
    </row>
    <row r="7647" spans="1:4" hidden="1" x14ac:dyDescent="0.25">
      <c r="A7647" t="s">
        <v>681</v>
      </c>
      <c r="B7647" t="s">
        <v>361</v>
      </c>
      <c r="C7647" s="2">
        <f>HYPERLINK("https://sao.dolgi.msk.ru/account/1404265157/", 1404265157)</f>
        <v>1404265157</v>
      </c>
      <c r="D7647">
        <v>0</v>
      </c>
    </row>
    <row r="7648" spans="1:4" hidden="1" x14ac:dyDescent="0.25">
      <c r="A7648" t="s">
        <v>681</v>
      </c>
      <c r="B7648" t="s">
        <v>362</v>
      </c>
      <c r="C7648" s="2">
        <f>HYPERLINK("https://sao.dolgi.msk.ru/account/1404267347/", 1404267347)</f>
        <v>1404267347</v>
      </c>
      <c r="D7648">
        <v>-0.23</v>
      </c>
    </row>
    <row r="7649" spans="1:4" hidden="1" x14ac:dyDescent="0.25">
      <c r="A7649" t="s">
        <v>681</v>
      </c>
      <c r="B7649" t="s">
        <v>364</v>
      </c>
      <c r="C7649" s="2">
        <f>HYPERLINK("https://sao.dolgi.msk.ru/account/1404264664/", 1404264664)</f>
        <v>1404264664</v>
      </c>
      <c r="D7649">
        <v>-4932.96</v>
      </c>
    </row>
    <row r="7650" spans="1:4" x14ac:dyDescent="0.25">
      <c r="A7650" t="s">
        <v>681</v>
      </c>
      <c r="B7650" t="s">
        <v>365</v>
      </c>
      <c r="C7650" s="2">
        <f>HYPERLINK("https://sao.dolgi.msk.ru/account/1404267355/", 1404267355)</f>
        <v>1404267355</v>
      </c>
      <c r="D7650">
        <v>11868.12</v>
      </c>
    </row>
    <row r="7651" spans="1:4" hidden="1" x14ac:dyDescent="0.25">
      <c r="A7651" t="s">
        <v>681</v>
      </c>
      <c r="B7651" t="s">
        <v>366</v>
      </c>
      <c r="C7651" s="2">
        <f>HYPERLINK("https://sao.dolgi.msk.ru/account/1404266977/", 1404266977)</f>
        <v>1404266977</v>
      </c>
      <c r="D7651">
        <v>-6945.69</v>
      </c>
    </row>
    <row r="7652" spans="1:4" hidden="1" x14ac:dyDescent="0.25">
      <c r="A7652" t="s">
        <v>681</v>
      </c>
      <c r="B7652" t="s">
        <v>367</v>
      </c>
      <c r="C7652" s="2">
        <f>HYPERLINK("https://sao.dolgi.msk.ru/account/1404264672/", 1404264672)</f>
        <v>1404264672</v>
      </c>
      <c r="D7652">
        <v>-3500.41</v>
      </c>
    </row>
    <row r="7653" spans="1:4" hidden="1" x14ac:dyDescent="0.25">
      <c r="A7653" t="s">
        <v>681</v>
      </c>
      <c r="B7653" t="s">
        <v>368</v>
      </c>
      <c r="C7653" s="2">
        <f>HYPERLINK("https://sao.dolgi.msk.ru/account/1404264699/", 1404264699)</f>
        <v>1404264699</v>
      </c>
      <c r="D7653">
        <v>-3975.94</v>
      </c>
    </row>
    <row r="7654" spans="1:4" hidden="1" x14ac:dyDescent="0.25">
      <c r="A7654" t="s">
        <v>681</v>
      </c>
      <c r="B7654" t="s">
        <v>369</v>
      </c>
      <c r="C7654" s="2">
        <f>HYPERLINK("https://sao.dolgi.msk.ru/account/1404267806/", 1404267806)</f>
        <v>1404267806</v>
      </c>
      <c r="D7654">
        <v>-7873.09</v>
      </c>
    </row>
    <row r="7655" spans="1:4" hidden="1" x14ac:dyDescent="0.25">
      <c r="A7655" t="s">
        <v>681</v>
      </c>
      <c r="B7655" t="s">
        <v>370</v>
      </c>
      <c r="C7655" s="2">
        <f>HYPERLINK("https://sao.dolgi.msk.ru/account/1404266627/", 1404266627)</f>
        <v>1404266627</v>
      </c>
      <c r="D7655">
        <v>0</v>
      </c>
    </row>
    <row r="7656" spans="1:4" hidden="1" x14ac:dyDescent="0.25">
      <c r="A7656" t="s">
        <v>681</v>
      </c>
      <c r="B7656" t="s">
        <v>370</v>
      </c>
      <c r="C7656" s="2">
        <f>HYPERLINK("https://sao.dolgi.msk.ru/account/1404266635/", 1404266635)</f>
        <v>1404266635</v>
      </c>
      <c r="D7656">
        <v>0</v>
      </c>
    </row>
    <row r="7657" spans="1:4" hidden="1" x14ac:dyDescent="0.25">
      <c r="A7657" t="s">
        <v>681</v>
      </c>
      <c r="B7657" t="s">
        <v>371</v>
      </c>
      <c r="C7657" s="2">
        <f>HYPERLINK("https://sao.dolgi.msk.ru/account/1404266168/", 1404266168)</f>
        <v>1404266168</v>
      </c>
      <c r="D7657">
        <v>-4548.2</v>
      </c>
    </row>
    <row r="7658" spans="1:4" x14ac:dyDescent="0.25">
      <c r="A7658" t="s">
        <v>681</v>
      </c>
      <c r="B7658" t="s">
        <v>372</v>
      </c>
      <c r="C7658" s="2">
        <f>HYPERLINK("https://sao.dolgi.msk.ru/account/1404267363/", 1404267363)</f>
        <v>1404267363</v>
      </c>
      <c r="D7658">
        <v>14590.42</v>
      </c>
    </row>
    <row r="7659" spans="1:4" hidden="1" x14ac:dyDescent="0.25">
      <c r="A7659" t="s">
        <v>681</v>
      </c>
      <c r="B7659" t="s">
        <v>373</v>
      </c>
      <c r="C7659" s="2">
        <f>HYPERLINK("https://sao.dolgi.msk.ru/account/1404265165/", 1404265165)</f>
        <v>1404265165</v>
      </c>
      <c r="D7659">
        <v>-7183.57</v>
      </c>
    </row>
    <row r="7660" spans="1:4" x14ac:dyDescent="0.25">
      <c r="A7660" t="s">
        <v>681</v>
      </c>
      <c r="B7660" t="s">
        <v>374</v>
      </c>
      <c r="C7660" s="2">
        <f>HYPERLINK("https://sao.dolgi.msk.ru/account/1404265173/", 1404265173)</f>
        <v>1404265173</v>
      </c>
      <c r="D7660">
        <v>4870.26</v>
      </c>
    </row>
    <row r="7661" spans="1:4" hidden="1" x14ac:dyDescent="0.25">
      <c r="A7661" t="s">
        <v>681</v>
      </c>
      <c r="B7661" t="s">
        <v>375</v>
      </c>
      <c r="C7661" s="2">
        <f>HYPERLINK("https://sao.dolgi.msk.ru/account/1404264701/", 1404264701)</f>
        <v>1404264701</v>
      </c>
      <c r="D7661">
        <v>-3753.09</v>
      </c>
    </row>
    <row r="7662" spans="1:4" hidden="1" x14ac:dyDescent="0.25">
      <c r="A7662" t="s">
        <v>681</v>
      </c>
      <c r="B7662" t="s">
        <v>376</v>
      </c>
      <c r="C7662" s="2">
        <f>HYPERLINK("https://sao.dolgi.msk.ru/account/1404265181/", 1404265181)</f>
        <v>1404265181</v>
      </c>
      <c r="D7662">
        <v>-153.63999999999999</v>
      </c>
    </row>
    <row r="7663" spans="1:4" hidden="1" x14ac:dyDescent="0.25">
      <c r="A7663" t="s">
        <v>681</v>
      </c>
      <c r="B7663" t="s">
        <v>377</v>
      </c>
      <c r="C7663" s="2">
        <f>HYPERLINK("https://sao.dolgi.msk.ru/account/1404265683/", 1404265683)</f>
        <v>1404265683</v>
      </c>
      <c r="D7663">
        <v>-968.11</v>
      </c>
    </row>
    <row r="7664" spans="1:4" hidden="1" x14ac:dyDescent="0.25">
      <c r="A7664" t="s">
        <v>681</v>
      </c>
      <c r="B7664" t="s">
        <v>378</v>
      </c>
      <c r="C7664" s="2">
        <f>HYPERLINK("https://sao.dolgi.msk.ru/account/1404265202/", 1404265202)</f>
        <v>1404265202</v>
      </c>
      <c r="D7664">
        <v>0</v>
      </c>
    </row>
    <row r="7665" spans="1:4" hidden="1" x14ac:dyDescent="0.25">
      <c r="A7665" t="s">
        <v>681</v>
      </c>
      <c r="B7665" t="s">
        <v>379</v>
      </c>
      <c r="C7665" s="2">
        <f>HYPERLINK("https://sao.dolgi.msk.ru/account/1404267371/", 1404267371)</f>
        <v>1404267371</v>
      </c>
      <c r="D7665">
        <v>0</v>
      </c>
    </row>
    <row r="7666" spans="1:4" hidden="1" x14ac:dyDescent="0.25">
      <c r="A7666" t="s">
        <v>681</v>
      </c>
      <c r="B7666" t="s">
        <v>380</v>
      </c>
      <c r="C7666" s="2">
        <f>HYPERLINK("https://sao.dolgi.msk.ru/account/1404266176/", 1404266176)</f>
        <v>1404266176</v>
      </c>
      <c r="D7666">
        <v>-2484.62</v>
      </c>
    </row>
    <row r="7667" spans="1:4" hidden="1" x14ac:dyDescent="0.25">
      <c r="A7667" t="s">
        <v>681</v>
      </c>
      <c r="B7667" t="s">
        <v>381</v>
      </c>
      <c r="C7667" s="2">
        <f>HYPERLINK("https://sao.dolgi.msk.ru/account/1404265229/", 1404265229)</f>
        <v>1404265229</v>
      </c>
      <c r="D7667">
        <v>-4840.4399999999996</v>
      </c>
    </row>
    <row r="7668" spans="1:4" hidden="1" x14ac:dyDescent="0.25">
      <c r="A7668" t="s">
        <v>681</v>
      </c>
      <c r="B7668" t="s">
        <v>382</v>
      </c>
      <c r="C7668" s="2">
        <f>HYPERLINK("https://sao.dolgi.msk.ru/account/1404267814/", 1404267814)</f>
        <v>1404267814</v>
      </c>
      <c r="D7668">
        <v>0</v>
      </c>
    </row>
    <row r="7669" spans="1:4" hidden="1" x14ac:dyDescent="0.25">
      <c r="A7669" t="s">
        <v>681</v>
      </c>
      <c r="B7669" t="s">
        <v>383</v>
      </c>
      <c r="C7669" s="2">
        <f>HYPERLINK("https://sao.dolgi.msk.ru/account/1404264437/", 1404264437)</f>
        <v>1404264437</v>
      </c>
      <c r="D7669">
        <v>-3754.17</v>
      </c>
    </row>
    <row r="7670" spans="1:4" hidden="1" x14ac:dyDescent="0.25">
      <c r="A7670" t="s">
        <v>681</v>
      </c>
      <c r="B7670" t="s">
        <v>384</v>
      </c>
      <c r="C7670" s="2">
        <f>HYPERLINK("https://sao.dolgi.msk.ru/account/1404267128/", 1404267128)</f>
        <v>1404267128</v>
      </c>
      <c r="D7670">
        <v>0</v>
      </c>
    </row>
    <row r="7671" spans="1:4" hidden="1" x14ac:dyDescent="0.25">
      <c r="A7671" t="s">
        <v>681</v>
      </c>
      <c r="B7671" t="s">
        <v>385</v>
      </c>
      <c r="C7671" s="2">
        <f>HYPERLINK("https://sao.dolgi.msk.ru/account/1404266416/", 1404266416)</f>
        <v>1404266416</v>
      </c>
      <c r="D7671">
        <v>-4969.34</v>
      </c>
    </row>
    <row r="7672" spans="1:4" x14ac:dyDescent="0.25">
      <c r="A7672" t="s">
        <v>681</v>
      </c>
      <c r="B7672" t="s">
        <v>386</v>
      </c>
      <c r="C7672" s="2">
        <f>HYPERLINK("https://sao.dolgi.msk.ru/account/1404266766/", 1404266766)</f>
        <v>1404266766</v>
      </c>
      <c r="D7672">
        <v>12225.27</v>
      </c>
    </row>
    <row r="7673" spans="1:4" hidden="1" x14ac:dyDescent="0.25">
      <c r="A7673" t="s">
        <v>681</v>
      </c>
      <c r="B7673" t="s">
        <v>387</v>
      </c>
      <c r="C7673" s="2">
        <f>HYPERLINK("https://sao.dolgi.msk.ru/account/1404267603/", 1404267603)</f>
        <v>1404267603</v>
      </c>
      <c r="D7673">
        <v>0</v>
      </c>
    </row>
    <row r="7674" spans="1:4" hidden="1" x14ac:dyDescent="0.25">
      <c r="A7674" t="s">
        <v>681</v>
      </c>
      <c r="B7674" t="s">
        <v>388</v>
      </c>
      <c r="C7674" s="2">
        <f>HYPERLINK("https://sao.dolgi.msk.ru/account/1404266424/", 1404266424)</f>
        <v>1404266424</v>
      </c>
      <c r="D7674">
        <v>0</v>
      </c>
    </row>
    <row r="7675" spans="1:4" hidden="1" x14ac:dyDescent="0.25">
      <c r="A7675" t="s">
        <v>681</v>
      </c>
      <c r="B7675" t="s">
        <v>389</v>
      </c>
      <c r="C7675" s="2">
        <f>HYPERLINK("https://sao.dolgi.msk.ru/account/1404264904/", 1404264904)</f>
        <v>1404264904</v>
      </c>
      <c r="D7675">
        <v>-4589.84</v>
      </c>
    </row>
    <row r="7676" spans="1:4" hidden="1" x14ac:dyDescent="0.25">
      <c r="A7676" t="s">
        <v>681</v>
      </c>
      <c r="B7676" t="s">
        <v>390</v>
      </c>
      <c r="C7676" s="2">
        <f>HYPERLINK("https://sao.dolgi.msk.ru/account/1404265464/", 1404265464)</f>
        <v>1404265464</v>
      </c>
      <c r="D7676">
        <v>-4919.1899999999996</v>
      </c>
    </row>
    <row r="7677" spans="1:4" hidden="1" x14ac:dyDescent="0.25">
      <c r="A7677" t="s">
        <v>681</v>
      </c>
      <c r="B7677" t="s">
        <v>391</v>
      </c>
      <c r="C7677" s="2">
        <f>HYPERLINK("https://sao.dolgi.msk.ru/account/1404264912/", 1404264912)</f>
        <v>1404264912</v>
      </c>
      <c r="D7677">
        <v>0</v>
      </c>
    </row>
    <row r="7678" spans="1:4" hidden="1" x14ac:dyDescent="0.25">
      <c r="A7678" t="s">
        <v>681</v>
      </c>
      <c r="B7678" t="s">
        <v>392</v>
      </c>
      <c r="C7678" s="2">
        <f>HYPERLINK("https://sao.dolgi.msk.ru/account/1404265886/", 1404265886)</f>
        <v>1404265886</v>
      </c>
      <c r="D7678">
        <v>-5985.5</v>
      </c>
    </row>
    <row r="7679" spans="1:4" hidden="1" x14ac:dyDescent="0.25">
      <c r="A7679" t="s">
        <v>681</v>
      </c>
      <c r="B7679" t="s">
        <v>393</v>
      </c>
      <c r="C7679" s="2">
        <f>HYPERLINK("https://sao.dolgi.msk.ru/account/1404266432/", 1404266432)</f>
        <v>1404266432</v>
      </c>
      <c r="D7679">
        <v>-6603.71</v>
      </c>
    </row>
    <row r="7680" spans="1:4" x14ac:dyDescent="0.25">
      <c r="A7680" t="s">
        <v>681</v>
      </c>
      <c r="B7680" t="s">
        <v>394</v>
      </c>
      <c r="C7680" s="2">
        <f>HYPERLINK("https://sao.dolgi.msk.ru/account/1404266774/", 1404266774)</f>
        <v>1404266774</v>
      </c>
      <c r="D7680">
        <v>7935.06</v>
      </c>
    </row>
    <row r="7681" spans="1:4" hidden="1" x14ac:dyDescent="0.25">
      <c r="A7681" t="s">
        <v>681</v>
      </c>
      <c r="B7681" t="s">
        <v>395</v>
      </c>
      <c r="C7681" s="2">
        <f>HYPERLINK("https://sao.dolgi.msk.ru/account/1404265472/", 1404265472)</f>
        <v>1404265472</v>
      </c>
      <c r="D7681">
        <v>-4135.75</v>
      </c>
    </row>
    <row r="7682" spans="1:4" hidden="1" x14ac:dyDescent="0.25">
      <c r="A7682" t="s">
        <v>681</v>
      </c>
      <c r="B7682" t="s">
        <v>396</v>
      </c>
      <c r="C7682" s="2">
        <f>HYPERLINK("https://sao.dolgi.msk.ru/account/1404264445/", 1404264445)</f>
        <v>1404264445</v>
      </c>
      <c r="D7682">
        <v>-6112.34</v>
      </c>
    </row>
    <row r="7683" spans="1:4" hidden="1" x14ac:dyDescent="0.25">
      <c r="A7683" t="s">
        <v>681</v>
      </c>
      <c r="B7683" t="s">
        <v>397</v>
      </c>
      <c r="C7683" s="2">
        <f>HYPERLINK("https://sao.dolgi.msk.ru/account/1404264939/", 1404264939)</f>
        <v>1404264939</v>
      </c>
      <c r="D7683">
        <v>-3567.04</v>
      </c>
    </row>
    <row r="7684" spans="1:4" x14ac:dyDescent="0.25">
      <c r="A7684" t="s">
        <v>681</v>
      </c>
      <c r="B7684" t="s">
        <v>398</v>
      </c>
      <c r="C7684" s="2">
        <f>HYPERLINK("https://sao.dolgi.msk.ru/account/1404264453/", 1404264453)</f>
        <v>1404264453</v>
      </c>
      <c r="D7684">
        <v>3793.9</v>
      </c>
    </row>
    <row r="7685" spans="1:4" hidden="1" x14ac:dyDescent="0.25">
      <c r="A7685" t="s">
        <v>681</v>
      </c>
      <c r="B7685" t="s">
        <v>399</v>
      </c>
      <c r="C7685" s="2">
        <f>HYPERLINK("https://sao.dolgi.msk.ru/account/1404267136/", 1404267136)</f>
        <v>1404267136</v>
      </c>
      <c r="D7685">
        <v>0</v>
      </c>
    </row>
    <row r="7686" spans="1:4" hidden="1" x14ac:dyDescent="0.25">
      <c r="A7686" t="s">
        <v>681</v>
      </c>
      <c r="B7686" t="s">
        <v>400</v>
      </c>
      <c r="C7686" s="2">
        <f>HYPERLINK("https://sao.dolgi.msk.ru/account/1404264461/", 1404264461)</f>
        <v>1404264461</v>
      </c>
      <c r="D7686">
        <v>0</v>
      </c>
    </row>
    <row r="7687" spans="1:4" hidden="1" x14ac:dyDescent="0.25">
      <c r="A7687" t="s">
        <v>681</v>
      </c>
      <c r="B7687" t="s">
        <v>401</v>
      </c>
      <c r="C7687" s="2">
        <f>HYPERLINK("https://sao.dolgi.msk.ru/account/1404265894/", 1404265894)</f>
        <v>1404265894</v>
      </c>
      <c r="D7687">
        <v>-8258.19</v>
      </c>
    </row>
    <row r="7688" spans="1:4" hidden="1" x14ac:dyDescent="0.25">
      <c r="A7688" t="s">
        <v>681</v>
      </c>
      <c r="B7688" t="s">
        <v>402</v>
      </c>
      <c r="C7688" s="2">
        <f>HYPERLINK("https://sao.dolgi.msk.ru/account/1404265907/", 1404265907)</f>
        <v>1404265907</v>
      </c>
      <c r="D7688">
        <v>-5886.24</v>
      </c>
    </row>
    <row r="7689" spans="1:4" hidden="1" x14ac:dyDescent="0.25">
      <c r="A7689" t="s">
        <v>681</v>
      </c>
      <c r="B7689" t="s">
        <v>403</v>
      </c>
      <c r="C7689" s="2">
        <f>HYPERLINK("https://sao.dolgi.msk.ru/account/1404265915/", 1404265915)</f>
        <v>1404265915</v>
      </c>
      <c r="D7689">
        <v>0</v>
      </c>
    </row>
    <row r="7690" spans="1:4" hidden="1" x14ac:dyDescent="0.25">
      <c r="A7690" t="s">
        <v>681</v>
      </c>
      <c r="B7690" t="s">
        <v>404</v>
      </c>
      <c r="C7690" s="2">
        <f>HYPERLINK("https://sao.dolgi.msk.ru/account/1404266459/", 1404266459)</f>
        <v>1404266459</v>
      </c>
      <c r="D7690">
        <v>-5370.26</v>
      </c>
    </row>
    <row r="7691" spans="1:4" x14ac:dyDescent="0.25">
      <c r="A7691" t="s">
        <v>681</v>
      </c>
      <c r="B7691" t="s">
        <v>405</v>
      </c>
      <c r="C7691" s="2">
        <f>HYPERLINK("https://sao.dolgi.msk.ru/account/1404266467/", 1404266467)</f>
        <v>1404266467</v>
      </c>
      <c r="D7691">
        <v>44593.34</v>
      </c>
    </row>
    <row r="7692" spans="1:4" hidden="1" x14ac:dyDescent="0.25">
      <c r="A7692" t="s">
        <v>681</v>
      </c>
      <c r="B7692" t="s">
        <v>406</v>
      </c>
      <c r="C7692" s="2">
        <f>HYPERLINK("https://sao.dolgi.msk.ru/account/1404267654/", 1404267654)</f>
        <v>1404267654</v>
      </c>
      <c r="D7692">
        <v>-8190.88</v>
      </c>
    </row>
    <row r="7693" spans="1:4" x14ac:dyDescent="0.25">
      <c r="A7693" t="s">
        <v>681</v>
      </c>
      <c r="B7693" t="s">
        <v>407</v>
      </c>
      <c r="C7693" s="2">
        <f>HYPERLINK("https://sao.dolgi.msk.ru/account/1404267208/", 1404267208)</f>
        <v>1404267208</v>
      </c>
      <c r="D7693">
        <v>21434.799999999999</v>
      </c>
    </row>
    <row r="7694" spans="1:4" hidden="1" x14ac:dyDescent="0.25">
      <c r="A7694" t="s">
        <v>681</v>
      </c>
      <c r="B7694" t="s">
        <v>408</v>
      </c>
      <c r="C7694" s="2">
        <f>HYPERLINK("https://sao.dolgi.msk.ru/account/1404267662/", 1404267662)</f>
        <v>1404267662</v>
      </c>
      <c r="D7694">
        <v>-4724.16</v>
      </c>
    </row>
    <row r="7695" spans="1:4" hidden="1" x14ac:dyDescent="0.25">
      <c r="A7695" t="s">
        <v>681</v>
      </c>
      <c r="B7695" t="s">
        <v>409</v>
      </c>
      <c r="C7695" s="2">
        <f>HYPERLINK("https://sao.dolgi.msk.ru/account/1404265026/", 1404265026)</f>
        <v>1404265026</v>
      </c>
      <c r="D7695">
        <v>-7341.65</v>
      </c>
    </row>
    <row r="7696" spans="1:4" hidden="1" x14ac:dyDescent="0.25">
      <c r="A7696" t="s">
        <v>681</v>
      </c>
      <c r="B7696" t="s">
        <v>410</v>
      </c>
      <c r="C7696" s="2">
        <f>HYPERLINK("https://sao.dolgi.msk.ru/account/1404264533/", 1404264533)</f>
        <v>1404264533</v>
      </c>
      <c r="D7696">
        <v>-7536.7</v>
      </c>
    </row>
    <row r="7697" spans="1:4" hidden="1" x14ac:dyDescent="0.25">
      <c r="A7697" t="s">
        <v>681</v>
      </c>
      <c r="B7697" t="s">
        <v>411</v>
      </c>
      <c r="C7697" s="2">
        <f>HYPERLINK("https://sao.dolgi.msk.ru/account/1404265034/", 1404265034)</f>
        <v>1404265034</v>
      </c>
      <c r="D7697">
        <v>-3764.97</v>
      </c>
    </row>
    <row r="7698" spans="1:4" x14ac:dyDescent="0.25">
      <c r="A7698" t="s">
        <v>681</v>
      </c>
      <c r="B7698" t="s">
        <v>429</v>
      </c>
      <c r="C7698" s="2">
        <f>HYPERLINK("https://sao.dolgi.msk.ru/account/1404265042/", 1404265042)</f>
        <v>1404265042</v>
      </c>
      <c r="D7698">
        <v>14359.18</v>
      </c>
    </row>
    <row r="7699" spans="1:4" hidden="1" x14ac:dyDescent="0.25">
      <c r="A7699" t="s">
        <v>681</v>
      </c>
      <c r="B7699" t="s">
        <v>430</v>
      </c>
      <c r="C7699" s="2">
        <f>HYPERLINK("https://sao.dolgi.msk.ru/account/1404267216/", 1404267216)</f>
        <v>1404267216</v>
      </c>
      <c r="D7699">
        <v>-4251.3900000000003</v>
      </c>
    </row>
    <row r="7700" spans="1:4" hidden="1" x14ac:dyDescent="0.25">
      <c r="A7700" t="s">
        <v>681</v>
      </c>
      <c r="B7700" t="s">
        <v>431</v>
      </c>
      <c r="C7700" s="2">
        <f>HYPERLINK("https://sao.dolgi.msk.ru/account/1404265552/", 1404265552)</f>
        <v>1404265552</v>
      </c>
      <c r="D7700">
        <v>-5359.78</v>
      </c>
    </row>
    <row r="7701" spans="1:4" hidden="1" x14ac:dyDescent="0.25">
      <c r="A7701" t="s">
        <v>681</v>
      </c>
      <c r="B7701" t="s">
        <v>432</v>
      </c>
      <c r="C7701" s="2">
        <f>HYPERLINK("https://sao.dolgi.msk.ru/account/1404265579/", 1404265579)</f>
        <v>1404265579</v>
      </c>
      <c r="D7701">
        <v>-6418.35</v>
      </c>
    </row>
    <row r="7702" spans="1:4" hidden="1" x14ac:dyDescent="0.25">
      <c r="A7702" t="s">
        <v>681</v>
      </c>
      <c r="B7702" t="s">
        <v>433</v>
      </c>
      <c r="C7702" s="2">
        <f>HYPERLINK("https://sao.dolgi.msk.ru/account/1404265982/", 1404265982)</f>
        <v>1404265982</v>
      </c>
      <c r="D7702">
        <v>-4780.8100000000004</v>
      </c>
    </row>
    <row r="7703" spans="1:4" hidden="1" x14ac:dyDescent="0.25">
      <c r="A7703" t="s">
        <v>681</v>
      </c>
      <c r="B7703" t="s">
        <v>434</v>
      </c>
      <c r="C7703" s="2">
        <f>HYPERLINK("https://sao.dolgi.msk.ru/account/1404264541/", 1404264541)</f>
        <v>1404264541</v>
      </c>
      <c r="D7703">
        <v>-6780.62</v>
      </c>
    </row>
    <row r="7704" spans="1:4" x14ac:dyDescent="0.25">
      <c r="A7704" t="s">
        <v>681</v>
      </c>
      <c r="B7704" t="s">
        <v>435</v>
      </c>
      <c r="C7704" s="2">
        <f>HYPERLINK("https://sao.dolgi.msk.ru/account/1404266803/", 1404266803)</f>
        <v>1404266803</v>
      </c>
      <c r="D7704">
        <v>39745.58</v>
      </c>
    </row>
    <row r="7705" spans="1:4" hidden="1" x14ac:dyDescent="0.25">
      <c r="A7705" t="s">
        <v>681</v>
      </c>
      <c r="B7705" t="s">
        <v>436</v>
      </c>
      <c r="C7705" s="2">
        <f>HYPERLINK("https://sao.dolgi.msk.ru/account/1404265587/", 1404265587)</f>
        <v>1404265587</v>
      </c>
      <c r="D7705">
        <v>-2337.1999999999998</v>
      </c>
    </row>
    <row r="7706" spans="1:4" hidden="1" x14ac:dyDescent="0.25">
      <c r="A7706" t="s">
        <v>681</v>
      </c>
      <c r="B7706" t="s">
        <v>437</v>
      </c>
      <c r="C7706" s="2">
        <f>HYPERLINK("https://sao.dolgi.msk.ru/account/1404265595/", 1404265595)</f>
        <v>1404265595</v>
      </c>
      <c r="D7706">
        <v>-4757.8100000000004</v>
      </c>
    </row>
    <row r="7707" spans="1:4" hidden="1" x14ac:dyDescent="0.25">
      <c r="A7707" t="s">
        <v>681</v>
      </c>
      <c r="B7707" t="s">
        <v>438</v>
      </c>
      <c r="C7707" s="2">
        <f>HYPERLINK("https://sao.dolgi.msk.ru/account/1404266344/", 1404266344)</f>
        <v>1404266344</v>
      </c>
      <c r="D7707">
        <v>-7676.58</v>
      </c>
    </row>
    <row r="7708" spans="1:4" x14ac:dyDescent="0.25">
      <c r="A7708" t="s">
        <v>681</v>
      </c>
      <c r="B7708" t="s">
        <v>439</v>
      </c>
      <c r="C7708" s="2">
        <f>HYPERLINK("https://sao.dolgi.msk.ru/account/1404267873/", 1404267873)</f>
        <v>1404267873</v>
      </c>
      <c r="D7708">
        <v>12128.83</v>
      </c>
    </row>
    <row r="7709" spans="1:4" hidden="1" x14ac:dyDescent="0.25">
      <c r="A7709" t="s">
        <v>681</v>
      </c>
      <c r="B7709" t="s">
        <v>440</v>
      </c>
      <c r="C7709" s="2">
        <f>HYPERLINK("https://sao.dolgi.msk.ru/account/1404266352/", 1404266352)</f>
        <v>1404266352</v>
      </c>
      <c r="D7709">
        <v>0</v>
      </c>
    </row>
    <row r="7710" spans="1:4" hidden="1" x14ac:dyDescent="0.25">
      <c r="A7710" t="s">
        <v>681</v>
      </c>
      <c r="B7710" t="s">
        <v>441</v>
      </c>
      <c r="C7710" s="2">
        <f>HYPERLINK("https://sao.dolgi.msk.ru/account/1404265827/", 1404265827)</f>
        <v>1404265827</v>
      </c>
      <c r="D7710">
        <v>0</v>
      </c>
    </row>
    <row r="7711" spans="1:4" x14ac:dyDescent="0.25">
      <c r="A7711" t="s">
        <v>681</v>
      </c>
      <c r="B7711" t="s">
        <v>442</v>
      </c>
      <c r="C7711" s="2">
        <f>HYPERLINK("https://sao.dolgi.msk.ru/account/1404265392/", 1404265392)</f>
        <v>1404265392</v>
      </c>
      <c r="D7711">
        <v>10620.81</v>
      </c>
    </row>
    <row r="7712" spans="1:4" hidden="1" x14ac:dyDescent="0.25">
      <c r="A7712" t="s">
        <v>681</v>
      </c>
      <c r="B7712" t="s">
        <v>443</v>
      </c>
      <c r="C7712" s="2">
        <f>HYPERLINK("https://sao.dolgi.msk.ru/account/1404267558/", 1404267558)</f>
        <v>1404267558</v>
      </c>
      <c r="D7712">
        <v>-6612.91</v>
      </c>
    </row>
    <row r="7713" spans="1:4" hidden="1" x14ac:dyDescent="0.25">
      <c r="A7713" t="s">
        <v>681</v>
      </c>
      <c r="B7713" t="s">
        <v>444</v>
      </c>
      <c r="C7713" s="2">
        <f>HYPERLINK("https://sao.dolgi.msk.ru/account/1404264867/", 1404264867)</f>
        <v>1404264867</v>
      </c>
      <c r="D7713">
        <v>-2016.5</v>
      </c>
    </row>
    <row r="7714" spans="1:4" hidden="1" x14ac:dyDescent="0.25">
      <c r="A7714" t="s">
        <v>681</v>
      </c>
      <c r="B7714" t="s">
        <v>445</v>
      </c>
      <c r="C7714" s="2">
        <f>HYPERLINK("https://sao.dolgi.msk.ru/account/1404266379/", 1404266379)</f>
        <v>1404266379</v>
      </c>
      <c r="D7714">
        <v>0</v>
      </c>
    </row>
    <row r="7715" spans="1:4" hidden="1" x14ac:dyDescent="0.25">
      <c r="A7715" t="s">
        <v>681</v>
      </c>
      <c r="B7715" t="s">
        <v>446</v>
      </c>
      <c r="C7715" s="2">
        <f>HYPERLINK("https://sao.dolgi.msk.ru/account/1404267101/", 1404267101)</f>
        <v>1404267101</v>
      </c>
      <c r="D7715">
        <v>0</v>
      </c>
    </row>
    <row r="7716" spans="1:4" x14ac:dyDescent="0.25">
      <c r="A7716" t="s">
        <v>681</v>
      </c>
      <c r="B7716" t="s">
        <v>447</v>
      </c>
      <c r="C7716" s="2">
        <f>HYPERLINK("https://sao.dolgi.msk.ru/account/1404267566/", 1404267566)</f>
        <v>1404267566</v>
      </c>
      <c r="D7716">
        <v>8809.93</v>
      </c>
    </row>
    <row r="7717" spans="1:4" hidden="1" x14ac:dyDescent="0.25">
      <c r="A7717" t="s">
        <v>681</v>
      </c>
      <c r="B7717" t="s">
        <v>448</v>
      </c>
      <c r="C7717" s="2">
        <f>HYPERLINK("https://sao.dolgi.msk.ru/account/1404265405/", 1404265405)</f>
        <v>1404265405</v>
      </c>
      <c r="D7717">
        <v>-4755.7</v>
      </c>
    </row>
    <row r="7718" spans="1:4" hidden="1" x14ac:dyDescent="0.25">
      <c r="A7718" t="s">
        <v>681</v>
      </c>
      <c r="B7718" t="s">
        <v>449</v>
      </c>
      <c r="C7718" s="2">
        <f>HYPERLINK("https://sao.dolgi.msk.ru/account/1404265835/", 1404265835)</f>
        <v>1404265835</v>
      </c>
      <c r="D7718">
        <v>-2334.88</v>
      </c>
    </row>
    <row r="7719" spans="1:4" hidden="1" x14ac:dyDescent="0.25">
      <c r="A7719" t="s">
        <v>681</v>
      </c>
      <c r="B7719" t="s">
        <v>450</v>
      </c>
      <c r="C7719" s="2">
        <f>HYPERLINK("https://sao.dolgi.msk.ru/account/1404265843/", 1404265843)</f>
        <v>1404265843</v>
      </c>
      <c r="D7719">
        <v>0</v>
      </c>
    </row>
    <row r="7720" spans="1:4" x14ac:dyDescent="0.25">
      <c r="A7720" t="s">
        <v>681</v>
      </c>
      <c r="B7720" t="s">
        <v>451</v>
      </c>
      <c r="C7720" s="2">
        <f>HYPERLINK("https://sao.dolgi.msk.ru/account/1404264875/", 1404264875)</f>
        <v>1404264875</v>
      </c>
      <c r="D7720">
        <v>4270.01</v>
      </c>
    </row>
    <row r="7721" spans="1:4" hidden="1" x14ac:dyDescent="0.25">
      <c r="A7721" t="s">
        <v>681</v>
      </c>
      <c r="B7721" t="s">
        <v>452</v>
      </c>
      <c r="C7721" s="2">
        <f>HYPERLINK("https://sao.dolgi.msk.ru/account/1404267881/", 1404267881)</f>
        <v>1404267881</v>
      </c>
      <c r="D7721">
        <v>-4569.7700000000004</v>
      </c>
    </row>
    <row r="7722" spans="1:4" hidden="1" x14ac:dyDescent="0.25">
      <c r="A7722" t="s">
        <v>681</v>
      </c>
      <c r="B7722" t="s">
        <v>453</v>
      </c>
      <c r="C7722" s="2">
        <f>HYPERLINK("https://sao.dolgi.msk.ru/account/1404264883/", 1404264883)</f>
        <v>1404264883</v>
      </c>
      <c r="D7722">
        <v>0</v>
      </c>
    </row>
    <row r="7723" spans="1:4" hidden="1" x14ac:dyDescent="0.25">
      <c r="A7723" t="s">
        <v>681</v>
      </c>
      <c r="B7723" t="s">
        <v>454</v>
      </c>
      <c r="C7723" s="2">
        <f>HYPERLINK("https://sao.dolgi.msk.ru/account/1404267902/", 1404267902)</f>
        <v>1404267902</v>
      </c>
      <c r="D7723">
        <v>-6469.64</v>
      </c>
    </row>
    <row r="7724" spans="1:4" hidden="1" x14ac:dyDescent="0.25">
      <c r="A7724" t="s">
        <v>681</v>
      </c>
      <c r="B7724" t="s">
        <v>455</v>
      </c>
      <c r="C7724" s="2">
        <f>HYPERLINK("https://sao.dolgi.msk.ru/account/1404267574/", 1404267574)</f>
        <v>1404267574</v>
      </c>
      <c r="D7724">
        <v>-6550.1</v>
      </c>
    </row>
    <row r="7725" spans="1:4" hidden="1" x14ac:dyDescent="0.25">
      <c r="A7725" t="s">
        <v>681</v>
      </c>
      <c r="B7725" t="s">
        <v>456</v>
      </c>
      <c r="C7725" s="2">
        <f>HYPERLINK("https://sao.dolgi.msk.ru/account/1404266715/", 1404266715)</f>
        <v>1404266715</v>
      </c>
      <c r="D7725">
        <v>0</v>
      </c>
    </row>
    <row r="7726" spans="1:4" hidden="1" x14ac:dyDescent="0.25">
      <c r="A7726" t="s">
        <v>681</v>
      </c>
      <c r="B7726" t="s">
        <v>457</v>
      </c>
      <c r="C7726" s="2">
        <f>HYPERLINK("https://sao.dolgi.msk.ru/account/1404264891/", 1404264891)</f>
        <v>1404264891</v>
      </c>
      <c r="D7726">
        <v>-5194.8900000000003</v>
      </c>
    </row>
    <row r="7727" spans="1:4" hidden="1" x14ac:dyDescent="0.25">
      <c r="A7727" t="s">
        <v>681</v>
      </c>
      <c r="B7727" t="s">
        <v>458</v>
      </c>
      <c r="C7727" s="2">
        <f>HYPERLINK("https://sao.dolgi.msk.ru/account/1404266723/", 1404266723)</f>
        <v>1404266723</v>
      </c>
      <c r="D7727">
        <v>-5576.29</v>
      </c>
    </row>
    <row r="7728" spans="1:4" hidden="1" x14ac:dyDescent="0.25">
      <c r="A7728" t="s">
        <v>681</v>
      </c>
      <c r="B7728" t="s">
        <v>459</v>
      </c>
      <c r="C7728" s="2">
        <f>HYPERLINK("https://sao.dolgi.msk.ru/account/1404266731/", 1404266731)</f>
        <v>1404266731</v>
      </c>
      <c r="D7728">
        <v>-2970.11</v>
      </c>
    </row>
    <row r="7729" spans="1:4" x14ac:dyDescent="0.25">
      <c r="A7729" t="s">
        <v>681</v>
      </c>
      <c r="B7729" t="s">
        <v>459</v>
      </c>
      <c r="C7729" s="2">
        <f>HYPERLINK("https://sao.dolgi.msk.ru/account/1404267929/", 1404267929)</f>
        <v>1404267929</v>
      </c>
      <c r="D7729">
        <v>4660.63</v>
      </c>
    </row>
    <row r="7730" spans="1:4" x14ac:dyDescent="0.25">
      <c r="A7730" t="s">
        <v>681</v>
      </c>
      <c r="B7730" t="s">
        <v>460</v>
      </c>
      <c r="C7730" s="2">
        <f>HYPERLINK("https://sao.dolgi.msk.ru/account/1404265851/", 1404265851)</f>
        <v>1404265851</v>
      </c>
      <c r="D7730">
        <v>8736.26</v>
      </c>
    </row>
    <row r="7731" spans="1:4" x14ac:dyDescent="0.25">
      <c r="A7731" t="s">
        <v>681</v>
      </c>
      <c r="B7731" t="s">
        <v>461</v>
      </c>
      <c r="C7731" s="2">
        <f>HYPERLINK("https://sao.dolgi.msk.ru/account/1404267195/", 1404267195)</f>
        <v>1404267195</v>
      </c>
      <c r="D7731">
        <v>6138.77</v>
      </c>
    </row>
    <row r="7732" spans="1:4" hidden="1" x14ac:dyDescent="0.25">
      <c r="A7732" t="s">
        <v>681</v>
      </c>
      <c r="B7732" t="s">
        <v>462</v>
      </c>
      <c r="C7732" s="2">
        <f>HYPERLINK("https://sao.dolgi.msk.ru/account/1404267646/", 1404267646)</f>
        <v>1404267646</v>
      </c>
      <c r="D7732">
        <v>0</v>
      </c>
    </row>
    <row r="7733" spans="1:4" hidden="1" x14ac:dyDescent="0.25">
      <c r="A7733" t="s">
        <v>681</v>
      </c>
      <c r="B7733" t="s">
        <v>463</v>
      </c>
      <c r="C7733" s="2">
        <f>HYPERLINK("https://sao.dolgi.msk.ru/account/1404265333/", 1404265333)</f>
        <v>1404265333</v>
      </c>
      <c r="D7733">
        <v>0</v>
      </c>
    </row>
    <row r="7734" spans="1:4" hidden="1" x14ac:dyDescent="0.25">
      <c r="A7734" t="s">
        <v>681</v>
      </c>
      <c r="B7734" t="s">
        <v>463</v>
      </c>
      <c r="C7734" s="2">
        <f>HYPERLINK("https://sao.dolgi.msk.ru/account/1404265544/", 1404265544)</f>
        <v>1404265544</v>
      </c>
      <c r="D7734">
        <v>-1309.4100000000001</v>
      </c>
    </row>
    <row r="7735" spans="1:4" x14ac:dyDescent="0.25">
      <c r="A7735" t="s">
        <v>681</v>
      </c>
      <c r="B7735" t="s">
        <v>464</v>
      </c>
      <c r="C7735" s="2">
        <f>HYPERLINK("https://sao.dolgi.msk.ru/account/1404266475/", 1404266475)</f>
        <v>1404266475</v>
      </c>
      <c r="D7735">
        <v>6084.49</v>
      </c>
    </row>
    <row r="7736" spans="1:4" hidden="1" x14ac:dyDescent="0.25">
      <c r="A7736" t="s">
        <v>681</v>
      </c>
      <c r="B7736" t="s">
        <v>465</v>
      </c>
      <c r="C7736" s="2">
        <f>HYPERLINK("https://sao.dolgi.msk.ru/account/1404264496/", 1404264496)</f>
        <v>1404264496</v>
      </c>
      <c r="D7736">
        <v>-6509.21</v>
      </c>
    </row>
    <row r="7737" spans="1:4" x14ac:dyDescent="0.25">
      <c r="A7737" t="s">
        <v>681</v>
      </c>
      <c r="B7737" t="s">
        <v>466</v>
      </c>
      <c r="C7737" s="2">
        <f>HYPERLINK("https://sao.dolgi.msk.ru/account/1404264963/", 1404264963)</f>
        <v>1404264963</v>
      </c>
      <c r="D7737">
        <v>8559.44</v>
      </c>
    </row>
    <row r="7738" spans="1:4" hidden="1" x14ac:dyDescent="0.25">
      <c r="A7738" t="s">
        <v>681</v>
      </c>
      <c r="B7738" t="s">
        <v>467</v>
      </c>
      <c r="C7738" s="2">
        <f>HYPERLINK("https://sao.dolgi.msk.ru/account/1404267179/", 1404267179)</f>
        <v>1404267179</v>
      </c>
      <c r="D7738">
        <v>0</v>
      </c>
    </row>
    <row r="7739" spans="1:4" hidden="1" x14ac:dyDescent="0.25">
      <c r="A7739" t="s">
        <v>681</v>
      </c>
      <c r="B7739" t="s">
        <v>468</v>
      </c>
      <c r="C7739" s="2">
        <f>HYPERLINK("https://sao.dolgi.msk.ru/account/1404265958/", 1404265958)</f>
        <v>1404265958</v>
      </c>
      <c r="D7739">
        <v>0</v>
      </c>
    </row>
    <row r="7740" spans="1:4" hidden="1" x14ac:dyDescent="0.25">
      <c r="A7740" t="s">
        <v>681</v>
      </c>
      <c r="B7740" t="s">
        <v>468</v>
      </c>
      <c r="C7740" s="2">
        <f>HYPERLINK("https://sao.dolgi.msk.ru/account/1404267793/", 1404267793)</f>
        <v>1404267793</v>
      </c>
      <c r="D7740">
        <v>0</v>
      </c>
    </row>
    <row r="7741" spans="1:4" hidden="1" x14ac:dyDescent="0.25">
      <c r="A7741" t="s">
        <v>681</v>
      </c>
      <c r="B7741" t="s">
        <v>469</v>
      </c>
      <c r="C7741" s="2">
        <f>HYPERLINK("https://sao.dolgi.msk.ru/account/1404264509/", 1404264509)</f>
        <v>1404264509</v>
      </c>
      <c r="D7741">
        <v>-3922.47</v>
      </c>
    </row>
    <row r="7742" spans="1:4" hidden="1" x14ac:dyDescent="0.25">
      <c r="A7742" t="s">
        <v>681</v>
      </c>
      <c r="B7742" t="s">
        <v>470</v>
      </c>
      <c r="C7742" s="2">
        <f>HYPERLINK("https://sao.dolgi.msk.ru/account/1404266483/", 1404266483)</f>
        <v>1404266483</v>
      </c>
      <c r="D7742">
        <v>-6345.37</v>
      </c>
    </row>
    <row r="7743" spans="1:4" hidden="1" x14ac:dyDescent="0.25">
      <c r="A7743" t="s">
        <v>681</v>
      </c>
      <c r="B7743" t="s">
        <v>471</v>
      </c>
      <c r="C7743" s="2">
        <f>HYPERLINK("https://sao.dolgi.msk.ru/account/1404265501/", 1404265501)</f>
        <v>1404265501</v>
      </c>
      <c r="D7743">
        <v>-7187.15</v>
      </c>
    </row>
    <row r="7744" spans="1:4" hidden="1" x14ac:dyDescent="0.25">
      <c r="A7744" t="s">
        <v>681</v>
      </c>
      <c r="B7744" t="s">
        <v>472</v>
      </c>
      <c r="C7744" s="2">
        <f>HYPERLINK("https://sao.dolgi.msk.ru/account/1404265528/", 1404265528)</f>
        <v>1404265528</v>
      </c>
      <c r="D7744">
        <v>-7795.17</v>
      </c>
    </row>
    <row r="7745" spans="1:4" hidden="1" x14ac:dyDescent="0.25">
      <c r="A7745" t="s">
        <v>681</v>
      </c>
      <c r="B7745" t="s">
        <v>473</v>
      </c>
      <c r="C7745" s="2">
        <f>HYPERLINK("https://sao.dolgi.msk.ru/account/1404264517/", 1404264517)</f>
        <v>1404264517</v>
      </c>
      <c r="D7745">
        <v>-2630.46</v>
      </c>
    </row>
    <row r="7746" spans="1:4" x14ac:dyDescent="0.25">
      <c r="A7746" t="s">
        <v>681</v>
      </c>
      <c r="B7746" t="s">
        <v>474</v>
      </c>
      <c r="C7746" s="2">
        <f>HYPERLINK("https://sao.dolgi.msk.ru/account/1404264971/", 1404264971)</f>
        <v>1404264971</v>
      </c>
      <c r="D7746">
        <v>38845.07</v>
      </c>
    </row>
    <row r="7747" spans="1:4" hidden="1" x14ac:dyDescent="0.25">
      <c r="A7747" t="s">
        <v>681</v>
      </c>
      <c r="B7747" t="s">
        <v>475</v>
      </c>
      <c r="C7747" s="2">
        <f>HYPERLINK("https://sao.dolgi.msk.ru/account/1404265536/", 1404265536)</f>
        <v>1404265536</v>
      </c>
      <c r="D7747">
        <v>-3027.75</v>
      </c>
    </row>
    <row r="7748" spans="1:4" x14ac:dyDescent="0.25">
      <c r="A7748" t="s">
        <v>681</v>
      </c>
      <c r="B7748" t="s">
        <v>475</v>
      </c>
      <c r="C7748" s="2">
        <f>HYPERLINK("https://sao.dolgi.msk.ru/account/1404265966/", 1404265966)</f>
        <v>1404265966</v>
      </c>
      <c r="D7748">
        <v>4068.28</v>
      </c>
    </row>
    <row r="7749" spans="1:4" x14ac:dyDescent="0.25">
      <c r="A7749" t="s">
        <v>681</v>
      </c>
      <c r="B7749" t="s">
        <v>476</v>
      </c>
      <c r="C7749" s="2">
        <f>HYPERLINK("https://sao.dolgi.msk.ru/account/1404264525/", 1404264525)</f>
        <v>1404264525</v>
      </c>
      <c r="D7749">
        <v>13467.62</v>
      </c>
    </row>
    <row r="7750" spans="1:4" x14ac:dyDescent="0.25">
      <c r="A7750" t="s">
        <v>681</v>
      </c>
      <c r="B7750" t="s">
        <v>477</v>
      </c>
      <c r="C7750" s="2">
        <f>HYPERLINK("https://sao.dolgi.msk.ru/account/1404264998/", 1404264998)</f>
        <v>1404264998</v>
      </c>
      <c r="D7750">
        <v>3277.93</v>
      </c>
    </row>
    <row r="7751" spans="1:4" hidden="1" x14ac:dyDescent="0.25">
      <c r="A7751" t="s">
        <v>681</v>
      </c>
      <c r="B7751" t="s">
        <v>478</v>
      </c>
      <c r="C7751" s="2">
        <f>HYPERLINK("https://sao.dolgi.msk.ru/account/1404266782/", 1404266782)</f>
        <v>1404266782</v>
      </c>
      <c r="D7751">
        <v>-4525.67</v>
      </c>
    </row>
    <row r="7752" spans="1:4" hidden="1" x14ac:dyDescent="0.25">
      <c r="A7752" t="s">
        <v>681</v>
      </c>
      <c r="B7752" t="s">
        <v>479</v>
      </c>
      <c r="C7752" s="2">
        <f>HYPERLINK("https://sao.dolgi.msk.ru/account/1404265974/", 1404265974)</f>
        <v>1404265974</v>
      </c>
      <c r="D7752">
        <v>-5200.95</v>
      </c>
    </row>
    <row r="7753" spans="1:4" hidden="1" x14ac:dyDescent="0.25">
      <c r="A7753" t="s">
        <v>681</v>
      </c>
      <c r="B7753" t="s">
        <v>480</v>
      </c>
      <c r="C7753" s="2">
        <f>HYPERLINK("https://sao.dolgi.msk.ru/account/1404267187/", 1404267187)</f>
        <v>1404267187</v>
      </c>
      <c r="D7753">
        <v>-2793.11</v>
      </c>
    </row>
    <row r="7754" spans="1:4" hidden="1" x14ac:dyDescent="0.25">
      <c r="A7754" t="s">
        <v>681</v>
      </c>
      <c r="B7754" t="s">
        <v>481</v>
      </c>
      <c r="C7754" s="2">
        <f>HYPERLINK("https://sao.dolgi.msk.ru/account/1404265018/", 1404265018)</f>
        <v>1404265018</v>
      </c>
      <c r="D7754">
        <v>-4272.74</v>
      </c>
    </row>
    <row r="7755" spans="1:4" hidden="1" x14ac:dyDescent="0.25">
      <c r="A7755" t="s">
        <v>681</v>
      </c>
      <c r="B7755" t="s">
        <v>482</v>
      </c>
      <c r="C7755" s="2">
        <f>HYPERLINK("https://sao.dolgi.msk.ru/account/1404264488/", 1404264488)</f>
        <v>1404264488</v>
      </c>
      <c r="D7755">
        <v>-1554.15</v>
      </c>
    </row>
    <row r="7756" spans="1:4" hidden="1" x14ac:dyDescent="0.25">
      <c r="A7756" t="s">
        <v>681</v>
      </c>
      <c r="B7756" t="s">
        <v>482</v>
      </c>
      <c r="C7756" s="2">
        <f>HYPERLINK("https://sao.dolgi.msk.ru/account/1404267056/", 1404267056)</f>
        <v>1404267056</v>
      </c>
      <c r="D7756">
        <v>-4961.58</v>
      </c>
    </row>
    <row r="7757" spans="1:4" hidden="1" x14ac:dyDescent="0.25">
      <c r="A7757" t="s">
        <v>681</v>
      </c>
      <c r="B7757" t="s">
        <v>484</v>
      </c>
      <c r="C7757" s="2">
        <f>HYPERLINK("https://sao.dolgi.msk.ru/account/1404264955/", 1404264955)</f>
        <v>1404264955</v>
      </c>
      <c r="D7757">
        <v>0</v>
      </c>
    </row>
    <row r="7758" spans="1:4" hidden="1" x14ac:dyDescent="0.25">
      <c r="A7758" t="s">
        <v>681</v>
      </c>
      <c r="B7758" t="s">
        <v>485</v>
      </c>
      <c r="C7758" s="2">
        <f>HYPERLINK("https://sao.dolgi.msk.ru/account/1404265499/", 1404265499)</f>
        <v>1404265499</v>
      </c>
      <c r="D7758">
        <v>-412.48</v>
      </c>
    </row>
    <row r="7759" spans="1:4" x14ac:dyDescent="0.25">
      <c r="A7759" t="s">
        <v>681</v>
      </c>
      <c r="B7759" t="s">
        <v>486</v>
      </c>
      <c r="C7759" s="2">
        <f>HYPERLINK("https://sao.dolgi.msk.ru/account/1404267611/", 1404267611)</f>
        <v>1404267611</v>
      </c>
      <c r="D7759">
        <v>7461.37</v>
      </c>
    </row>
    <row r="7760" spans="1:4" hidden="1" x14ac:dyDescent="0.25">
      <c r="A7760" t="s">
        <v>681</v>
      </c>
      <c r="B7760" t="s">
        <v>487</v>
      </c>
      <c r="C7760" s="2">
        <f>HYPERLINK("https://sao.dolgi.msk.ru/account/1404265819/", 1404265819)</f>
        <v>1404265819</v>
      </c>
      <c r="D7760">
        <v>-9284.43</v>
      </c>
    </row>
    <row r="7761" spans="1:4" x14ac:dyDescent="0.25">
      <c r="A7761" t="s">
        <v>681</v>
      </c>
      <c r="B7761" t="s">
        <v>488</v>
      </c>
      <c r="C7761" s="2">
        <f>HYPERLINK("https://sao.dolgi.msk.ru/account/1404267638/", 1404267638)</f>
        <v>1404267638</v>
      </c>
      <c r="D7761">
        <v>4979.68</v>
      </c>
    </row>
    <row r="7762" spans="1:4" hidden="1" x14ac:dyDescent="0.25">
      <c r="A7762" t="s">
        <v>681</v>
      </c>
      <c r="B7762" t="s">
        <v>489</v>
      </c>
      <c r="C7762" s="2">
        <f>HYPERLINK("https://sao.dolgi.msk.ru/account/1404265931/", 1404265931)</f>
        <v>1404265931</v>
      </c>
      <c r="D7762">
        <v>-6284.06</v>
      </c>
    </row>
    <row r="7763" spans="1:4" hidden="1" x14ac:dyDescent="0.25">
      <c r="A7763" t="s">
        <v>681</v>
      </c>
      <c r="B7763" t="s">
        <v>490</v>
      </c>
      <c r="C7763" s="2">
        <f>HYPERLINK("https://sao.dolgi.msk.ru/account/1404267152/", 1404267152)</f>
        <v>1404267152</v>
      </c>
      <c r="D7763">
        <v>0</v>
      </c>
    </row>
    <row r="7764" spans="1:4" hidden="1" x14ac:dyDescent="0.25">
      <c r="A7764" t="s">
        <v>681</v>
      </c>
      <c r="B7764" t="s">
        <v>491</v>
      </c>
      <c r="C7764" s="2">
        <f>HYPERLINK("https://sao.dolgi.msk.ru/account/1404264621/", 1404264621)</f>
        <v>1404264621</v>
      </c>
      <c r="D7764">
        <v>-6394.7</v>
      </c>
    </row>
    <row r="7765" spans="1:4" hidden="1" x14ac:dyDescent="0.25">
      <c r="A7765" t="s">
        <v>681</v>
      </c>
      <c r="B7765" t="s">
        <v>492</v>
      </c>
      <c r="C7765" s="2">
        <f>HYPERLINK("https://sao.dolgi.msk.ru/account/1404266926/", 1404266926)</f>
        <v>1404266926</v>
      </c>
      <c r="D7765">
        <v>-3853.67</v>
      </c>
    </row>
    <row r="7766" spans="1:4" hidden="1" x14ac:dyDescent="0.25">
      <c r="A7766" t="s">
        <v>681</v>
      </c>
      <c r="B7766" t="s">
        <v>493</v>
      </c>
      <c r="C7766" s="2">
        <f>HYPERLINK("https://sao.dolgi.msk.ru/account/1404265093/", 1404265093)</f>
        <v>1404265093</v>
      </c>
      <c r="D7766">
        <v>0</v>
      </c>
    </row>
    <row r="7767" spans="1:4" hidden="1" x14ac:dyDescent="0.25">
      <c r="A7767" t="s">
        <v>681</v>
      </c>
      <c r="B7767" t="s">
        <v>494</v>
      </c>
      <c r="C7767" s="2">
        <f>HYPERLINK("https://sao.dolgi.msk.ru/account/1404266934/", 1404266934)</f>
        <v>1404266934</v>
      </c>
      <c r="D7767">
        <v>-9089.57</v>
      </c>
    </row>
    <row r="7768" spans="1:4" hidden="1" x14ac:dyDescent="0.25">
      <c r="A7768" t="s">
        <v>681</v>
      </c>
      <c r="B7768" t="s">
        <v>495</v>
      </c>
      <c r="C7768" s="2">
        <f>HYPERLINK("https://sao.dolgi.msk.ru/account/1404265106/", 1404265106)</f>
        <v>1404265106</v>
      </c>
      <c r="D7768">
        <v>-7082.2</v>
      </c>
    </row>
    <row r="7769" spans="1:4" x14ac:dyDescent="0.25">
      <c r="A7769" t="s">
        <v>681</v>
      </c>
      <c r="B7769" t="s">
        <v>496</v>
      </c>
      <c r="C7769" s="2">
        <f>HYPERLINK("https://sao.dolgi.msk.ru/account/1404264728/", 1404264728)</f>
        <v>1404264728</v>
      </c>
      <c r="D7769">
        <v>28021.119999999999</v>
      </c>
    </row>
    <row r="7770" spans="1:4" x14ac:dyDescent="0.25">
      <c r="A7770" t="s">
        <v>681</v>
      </c>
      <c r="B7770" t="s">
        <v>497</v>
      </c>
      <c r="C7770" s="2">
        <f>HYPERLINK("https://sao.dolgi.msk.ru/account/1404266184/", 1404266184)</f>
        <v>1404266184</v>
      </c>
      <c r="D7770">
        <v>16041.57</v>
      </c>
    </row>
    <row r="7771" spans="1:4" hidden="1" x14ac:dyDescent="0.25">
      <c r="A7771" t="s">
        <v>681</v>
      </c>
      <c r="B7771" t="s">
        <v>498</v>
      </c>
      <c r="C7771" s="2">
        <f>HYPERLINK("https://sao.dolgi.msk.ru/account/1404266985/", 1404266985)</f>
        <v>1404266985</v>
      </c>
      <c r="D7771">
        <v>-4740.2299999999996</v>
      </c>
    </row>
    <row r="7772" spans="1:4" hidden="1" x14ac:dyDescent="0.25">
      <c r="A7772" t="s">
        <v>681</v>
      </c>
      <c r="B7772" t="s">
        <v>499</v>
      </c>
      <c r="C7772" s="2">
        <f>HYPERLINK("https://sao.dolgi.msk.ru/account/1404265237/", 1404265237)</f>
        <v>1404265237</v>
      </c>
      <c r="D7772">
        <v>0</v>
      </c>
    </row>
    <row r="7773" spans="1:4" x14ac:dyDescent="0.25">
      <c r="A7773" t="s">
        <v>681</v>
      </c>
      <c r="B7773" t="s">
        <v>500</v>
      </c>
      <c r="C7773" s="2">
        <f>HYPERLINK("https://sao.dolgi.msk.ru/account/1404267398/", 1404267398)</f>
        <v>1404267398</v>
      </c>
      <c r="D7773">
        <v>5478.12</v>
      </c>
    </row>
    <row r="7774" spans="1:4" x14ac:dyDescent="0.25">
      <c r="A7774" t="s">
        <v>681</v>
      </c>
      <c r="B7774" t="s">
        <v>501</v>
      </c>
      <c r="C7774" s="2">
        <f>HYPERLINK("https://sao.dolgi.msk.ru/account/1404266192/", 1404266192)</f>
        <v>1404266192</v>
      </c>
      <c r="D7774">
        <v>73970.91</v>
      </c>
    </row>
    <row r="7775" spans="1:4" hidden="1" x14ac:dyDescent="0.25">
      <c r="A7775" t="s">
        <v>681</v>
      </c>
      <c r="B7775" t="s">
        <v>502</v>
      </c>
      <c r="C7775" s="2">
        <f>HYPERLINK("https://sao.dolgi.msk.ru/account/1404266205/", 1404266205)</f>
        <v>1404266205</v>
      </c>
      <c r="D7775">
        <v>-4568.1400000000003</v>
      </c>
    </row>
    <row r="7776" spans="1:4" hidden="1" x14ac:dyDescent="0.25">
      <c r="A7776" t="s">
        <v>681</v>
      </c>
      <c r="B7776" t="s">
        <v>503</v>
      </c>
      <c r="C7776" s="2">
        <f>HYPERLINK("https://sao.dolgi.msk.ru/account/1404267419/", 1404267419)</f>
        <v>1404267419</v>
      </c>
      <c r="D7776">
        <v>-9058.59</v>
      </c>
    </row>
    <row r="7777" spans="1:4" hidden="1" x14ac:dyDescent="0.25">
      <c r="A7777" t="s">
        <v>681</v>
      </c>
      <c r="B7777" t="s">
        <v>504</v>
      </c>
      <c r="C7777" s="2">
        <f>HYPERLINK("https://sao.dolgi.msk.ru/account/1404267427/", 1404267427)</f>
        <v>1404267427</v>
      </c>
      <c r="D7777">
        <v>-5386.33</v>
      </c>
    </row>
    <row r="7778" spans="1:4" x14ac:dyDescent="0.25">
      <c r="A7778" t="s">
        <v>681</v>
      </c>
      <c r="B7778" t="s">
        <v>505</v>
      </c>
      <c r="C7778" s="2">
        <f>HYPERLINK("https://sao.dolgi.msk.ru/account/1404266213/", 1404266213)</f>
        <v>1404266213</v>
      </c>
      <c r="D7778">
        <v>88924.37</v>
      </c>
    </row>
    <row r="7779" spans="1:4" hidden="1" x14ac:dyDescent="0.25">
      <c r="A7779" t="s">
        <v>681</v>
      </c>
      <c r="B7779" t="s">
        <v>506</v>
      </c>
      <c r="C7779" s="2">
        <f>HYPERLINK("https://sao.dolgi.msk.ru/account/1404265245/", 1404265245)</f>
        <v>1404265245</v>
      </c>
      <c r="D7779">
        <v>-6730.36</v>
      </c>
    </row>
    <row r="7780" spans="1:4" hidden="1" x14ac:dyDescent="0.25">
      <c r="A7780" t="s">
        <v>681</v>
      </c>
      <c r="B7780" t="s">
        <v>507</v>
      </c>
      <c r="C7780" s="2">
        <f>HYPERLINK("https://sao.dolgi.msk.ru/account/1404266993/", 1404266993)</f>
        <v>1404266993</v>
      </c>
      <c r="D7780">
        <v>-8053.08</v>
      </c>
    </row>
    <row r="7781" spans="1:4" hidden="1" x14ac:dyDescent="0.25">
      <c r="A7781" t="s">
        <v>681</v>
      </c>
      <c r="B7781" t="s">
        <v>508</v>
      </c>
      <c r="C7781" s="2">
        <f>HYPERLINK("https://sao.dolgi.msk.ru/account/1404266643/", 1404266643)</f>
        <v>1404266643</v>
      </c>
      <c r="D7781">
        <v>-107.02</v>
      </c>
    </row>
    <row r="7782" spans="1:4" hidden="1" x14ac:dyDescent="0.25">
      <c r="A7782" t="s">
        <v>681</v>
      </c>
      <c r="B7782" t="s">
        <v>509</v>
      </c>
      <c r="C7782" s="2">
        <f>HYPERLINK("https://sao.dolgi.msk.ru/account/1404264736/", 1404264736)</f>
        <v>1404264736</v>
      </c>
      <c r="D7782">
        <v>0</v>
      </c>
    </row>
    <row r="7783" spans="1:4" hidden="1" x14ac:dyDescent="0.25">
      <c r="A7783" t="s">
        <v>681</v>
      </c>
      <c r="B7783" t="s">
        <v>510</v>
      </c>
      <c r="C7783" s="2">
        <f>HYPERLINK("https://sao.dolgi.msk.ru/account/1404265691/", 1404265691)</f>
        <v>1404265691</v>
      </c>
      <c r="D7783">
        <v>0</v>
      </c>
    </row>
    <row r="7784" spans="1:4" hidden="1" x14ac:dyDescent="0.25">
      <c r="A7784" t="s">
        <v>681</v>
      </c>
      <c r="B7784" t="s">
        <v>511</v>
      </c>
      <c r="C7784" s="2">
        <f>HYPERLINK("https://sao.dolgi.msk.ru/account/1404264744/", 1404264744)</f>
        <v>1404264744</v>
      </c>
      <c r="D7784">
        <v>-956.93</v>
      </c>
    </row>
    <row r="7785" spans="1:4" hidden="1" x14ac:dyDescent="0.25">
      <c r="A7785" t="s">
        <v>681</v>
      </c>
      <c r="B7785" t="s">
        <v>512</v>
      </c>
      <c r="C7785" s="2">
        <f>HYPERLINK("https://sao.dolgi.msk.ru/account/1404266221/", 1404266221)</f>
        <v>1404266221</v>
      </c>
      <c r="D7785">
        <v>-5296.26</v>
      </c>
    </row>
    <row r="7786" spans="1:4" hidden="1" x14ac:dyDescent="0.25">
      <c r="A7786" t="s">
        <v>681</v>
      </c>
      <c r="B7786" t="s">
        <v>513</v>
      </c>
      <c r="C7786" s="2">
        <f>HYPERLINK("https://sao.dolgi.msk.ru/account/1404265704/", 1404265704)</f>
        <v>1404265704</v>
      </c>
      <c r="D7786">
        <v>-5393.32</v>
      </c>
    </row>
    <row r="7787" spans="1:4" hidden="1" x14ac:dyDescent="0.25">
      <c r="A7787" t="s">
        <v>681</v>
      </c>
      <c r="B7787" t="s">
        <v>514</v>
      </c>
      <c r="C7787" s="2">
        <f>HYPERLINK("https://sao.dolgi.msk.ru/account/1404266248/", 1404266248)</f>
        <v>1404266248</v>
      </c>
      <c r="D7787">
        <v>0</v>
      </c>
    </row>
    <row r="7788" spans="1:4" hidden="1" x14ac:dyDescent="0.25">
      <c r="A7788" t="s">
        <v>681</v>
      </c>
      <c r="B7788" t="s">
        <v>515</v>
      </c>
      <c r="C7788" s="2">
        <f>HYPERLINK("https://sao.dolgi.msk.ru/account/1404264752/", 1404264752)</f>
        <v>1404264752</v>
      </c>
      <c r="D7788">
        <v>-5533.31</v>
      </c>
    </row>
    <row r="7789" spans="1:4" hidden="1" x14ac:dyDescent="0.25">
      <c r="A7789" t="s">
        <v>681</v>
      </c>
      <c r="B7789" t="s">
        <v>516</v>
      </c>
      <c r="C7789" s="2">
        <f>HYPERLINK("https://sao.dolgi.msk.ru/account/1404267435/", 1404267435)</f>
        <v>1404267435</v>
      </c>
      <c r="D7789">
        <v>-3605.07</v>
      </c>
    </row>
    <row r="7790" spans="1:4" hidden="1" x14ac:dyDescent="0.25">
      <c r="A7790" t="s">
        <v>681</v>
      </c>
      <c r="B7790" t="s">
        <v>517</v>
      </c>
      <c r="C7790" s="2">
        <f>HYPERLINK("https://sao.dolgi.msk.ru/account/1404265712/", 1404265712)</f>
        <v>1404265712</v>
      </c>
      <c r="D7790">
        <v>-6160.63</v>
      </c>
    </row>
    <row r="7791" spans="1:4" hidden="1" x14ac:dyDescent="0.25">
      <c r="A7791" t="s">
        <v>681</v>
      </c>
      <c r="B7791" t="s">
        <v>518</v>
      </c>
      <c r="C7791" s="2">
        <f>HYPERLINK("https://sao.dolgi.msk.ru/account/1404267443/", 1404267443)</f>
        <v>1404267443</v>
      </c>
      <c r="D7791">
        <v>0</v>
      </c>
    </row>
    <row r="7792" spans="1:4" hidden="1" x14ac:dyDescent="0.25">
      <c r="A7792" t="s">
        <v>681</v>
      </c>
      <c r="B7792" t="s">
        <v>519</v>
      </c>
      <c r="C7792" s="2">
        <f>HYPERLINK("https://sao.dolgi.msk.ru/account/1404174693/", 1404174693)</f>
        <v>1404174693</v>
      </c>
      <c r="D7792">
        <v>-3875.31</v>
      </c>
    </row>
    <row r="7793" spans="1:4" hidden="1" x14ac:dyDescent="0.25">
      <c r="A7793" t="s">
        <v>681</v>
      </c>
      <c r="B7793" t="s">
        <v>519</v>
      </c>
      <c r="C7793" s="2">
        <f>HYPERLINK("https://sao.dolgi.msk.ru/account/1404265253/", 1404265253)</f>
        <v>1404265253</v>
      </c>
      <c r="D7793">
        <v>-3688.55</v>
      </c>
    </row>
    <row r="7794" spans="1:4" hidden="1" x14ac:dyDescent="0.25">
      <c r="A7794" t="s">
        <v>681</v>
      </c>
      <c r="B7794" t="s">
        <v>520</v>
      </c>
      <c r="C7794" s="2">
        <f>HYPERLINK("https://sao.dolgi.msk.ru/account/1404266651/", 1404266651)</f>
        <v>1404266651</v>
      </c>
      <c r="D7794">
        <v>0</v>
      </c>
    </row>
    <row r="7795" spans="1:4" hidden="1" x14ac:dyDescent="0.25">
      <c r="A7795" t="s">
        <v>681</v>
      </c>
      <c r="B7795" t="s">
        <v>521</v>
      </c>
      <c r="C7795" s="2">
        <f>HYPERLINK("https://sao.dolgi.msk.ru/account/1404264787/", 1404264787)</f>
        <v>1404264787</v>
      </c>
      <c r="D7795">
        <v>-3455.2</v>
      </c>
    </row>
    <row r="7796" spans="1:4" x14ac:dyDescent="0.25">
      <c r="A7796" t="s">
        <v>681</v>
      </c>
      <c r="B7796" t="s">
        <v>522</v>
      </c>
      <c r="C7796" s="2">
        <f>HYPERLINK("https://sao.dolgi.msk.ru/account/1404265739/", 1404265739)</f>
        <v>1404265739</v>
      </c>
      <c r="D7796">
        <v>14999.56</v>
      </c>
    </row>
    <row r="7797" spans="1:4" hidden="1" x14ac:dyDescent="0.25">
      <c r="A7797" t="s">
        <v>681</v>
      </c>
      <c r="B7797" t="s">
        <v>523</v>
      </c>
      <c r="C7797" s="2">
        <f>HYPERLINK("https://sao.dolgi.msk.ru/account/1404267451/", 1404267451)</f>
        <v>1404267451</v>
      </c>
      <c r="D7797">
        <v>-6780.84</v>
      </c>
    </row>
    <row r="7798" spans="1:4" hidden="1" x14ac:dyDescent="0.25">
      <c r="A7798" t="s">
        <v>681</v>
      </c>
      <c r="B7798" t="s">
        <v>524</v>
      </c>
      <c r="C7798" s="2">
        <f>HYPERLINK("https://sao.dolgi.msk.ru/account/1404264795/", 1404264795)</f>
        <v>1404264795</v>
      </c>
      <c r="D7798">
        <v>-4158.12</v>
      </c>
    </row>
    <row r="7799" spans="1:4" hidden="1" x14ac:dyDescent="0.25">
      <c r="A7799" t="s">
        <v>681</v>
      </c>
      <c r="B7799" t="s">
        <v>525</v>
      </c>
      <c r="C7799" s="2">
        <f>HYPERLINK("https://sao.dolgi.msk.ru/account/1404265261/", 1404265261)</f>
        <v>1404265261</v>
      </c>
      <c r="D7799">
        <v>0</v>
      </c>
    </row>
    <row r="7800" spans="1:4" x14ac:dyDescent="0.25">
      <c r="A7800" t="s">
        <v>681</v>
      </c>
      <c r="B7800" t="s">
        <v>526</v>
      </c>
      <c r="C7800" s="2">
        <f>HYPERLINK("https://sao.dolgi.msk.ru/account/1404267478/", 1404267478)</f>
        <v>1404267478</v>
      </c>
      <c r="D7800">
        <v>9866.98</v>
      </c>
    </row>
    <row r="7801" spans="1:4" hidden="1" x14ac:dyDescent="0.25">
      <c r="A7801" t="s">
        <v>681</v>
      </c>
      <c r="B7801" t="s">
        <v>527</v>
      </c>
      <c r="C7801" s="2">
        <f>HYPERLINK("https://sao.dolgi.msk.ru/account/1404264808/", 1404264808)</f>
        <v>1404264808</v>
      </c>
      <c r="D7801">
        <v>0</v>
      </c>
    </row>
    <row r="7802" spans="1:4" hidden="1" x14ac:dyDescent="0.25">
      <c r="A7802" t="s">
        <v>681</v>
      </c>
      <c r="B7802" t="s">
        <v>528</v>
      </c>
      <c r="C7802" s="2">
        <f>HYPERLINK("https://sao.dolgi.msk.ru/account/1404267005/", 1404267005)</f>
        <v>1404267005</v>
      </c>
      <c r="D7802">
        <v>-2560.27</v>
      </c>
    </row>
    <row r="7803" spans="1:4" hidden="1" x14ac:dyDescent="0.25">
      <c r="A7803" t="s">
        <v>681</v>
      </c>
      <c r="B7803" t="s">
        <v>529</v>
      </c>
      <c r="C7803" s="2">
        <f>HYPERLINK("https://sao.dolgi.msk.ru/account/1404265288/", 1404265288)</f>
        <v>1404265288</v>
      </c>
      <c r="D7803">
        <v>0</v>
      </c>
    </row>
    <row r="7804" spans="1:4" hidden="1" x14ac:dyDescent="0.25">
      <c r="A7804" t="s">
        <v>681</v>
      </c>
      <c r="B7804" t="s">
        <v>530</v>
      </c>
      <c r="C7804" s="2">
        <f>HYPERLINK("https://sao.dolgi.msk.ru/account/1404265296/", 1404265296)</f>
        <v>1404265296</v>
      </c>
      <c r="D7804">
        <v>-6039.19</v>
      </c>
    </row>
    <row r="7805" spans="1:4" hidden="1" x14ac:dyDescent="0.25">
      <c r="A7805" t="s">
        <v>681</v>
      </c>
      <c r="B7805" t="s">
        <v>531</v>
      </c>
      <c r="C7805" s="2">
        <f>HYPERLINK("https://sao.dolgi.msk.ru/account/1404267013/", 1404267013)</f>
        <v>1404267013</v>
      </c>
      <c r="D7805">
        <v>-7482.84</v>
      </c>
    </row>
    <row r="7806" spans="1:4" hidden="1" x14ac:dyDescent="0.25">
      <c r="A7806" t="s">
        <v>681</v>
      </c>
      <c r="B7806" t="s">
        <v>532</v>
      </c>
      <c r="C7806" s="2">
        <f>HYPERLINK("https://sao.dolgi.msk.ru/account/1404267486/", 1404267486)</f>
        <v>1404267486</v>
      </c>
      <c r="D7806">
        <v>-4685.3</v>
      </c>
    </row>
    <row r="7807" spans="1:4" x14ac:dyDescent="0.25">
      <c r="A7807" t="s">
        <v>681</v>
      </c>
      <c r="B7807" t="s">
        <v>533</v>
      </c>
      <c r="C7807" s="2">
        <f>HYPERLINK("https://sao.dolgi.msk.ru/account/1404266256/", 1404266256)</f>
        <v>1404266256</v>
      </c>
      <c r="D7807">
        <v>149.13999999999999</v>
      </c>
    </row>
    <row r="7808" spans="1:4" hidden="1" x14ac:dyDescent="0.25">
      <c r="A7808" t="s">
        <v>681</v>
      </c>
      <c r="B7808" t="s">
        <v>534</v>
      </c>
      <c r="C7808" s="2">
        <f>HYPERLINK("https://sao.dolgi.msk.ru/account/1404265747/", 1404265747)</f>
        <v>1404265747</v>
      </c>
      <c r="D7808">
        <v>-2488.85</v>
      </c>
    </row>
    <row r="7809" spans="1:4" hidden="1" x14ac:dyDescent="0.25">
      <c r="A7809" t="s">
        <v>681</v>
      </c>
      <c r="B7809" t="s">
        <v>535</v>
      </c>
      <c r="C7809" s="2">
        <f>HYPERLINK("https://sao.dolgi.msk.ru/account/1404267494/", 1404267494)</f>
        <v>1404267494</v>
      </c>
      <c r="D7809">
        <v>-2061.61</v>
      </c>
    </row>
    <row r="7810" spans="1:4" hidden="1" x14ac:dyDescent="0.25">
      <c r="A7810" t="s">
        <v>681</v>
      </c>
      <c r="B7810" t="s">
        <v>535</v>
      </c>
      <c r="C7810" s="2">
        <f>HYPERLINK("https://sao.dolgi.msk.ru/account/1404267822/", 1404267822)</f>
        <v>1404267822</v>
      </c>
      <c r="D7810">
        <v>-2884.9</v>
      </c>
    </row>
    <row r="7811" spans="1:4" x14ac:dyDescent="0.25">
      <c r="A7811" t="s">
        <v>681</v>
      </c>
      <c r="B7811" t="s">
        <v>536</v>
      </c>
      <c r="C7811" s="2">
        <f>HYPERLINK("https://sao.dolgi.msk.ru/account/1404266264/", 1404266264)</f>
        <v>1404266264</v>
      </c>
      <c r="D7811">
        <v>8539.16</v>
      </c>
    </row>
    <row r="7812" spans="1:4" hidden="1" x14ac:dyDescent="0.25">
      <c r="A7812" t="s">
        <v>681</v>
      </c>
      <c r="B7812" t="s">
        <v>537</v>
      </c>
      <c r="C7812" s="2">
        <f>HYPERLINK("https://sao.dolgi.msk.ru/account/1404267507/", 1404267507)</f>
        <v>1404267507</v>
      </c>
      <c r="D7812">
        <v>0</v>
      </c>
    </row>
    <row r="7813" spans="1:4" hidden="1" x14ac:dyDescent="0.25">
      <c r="A7813" t="s">
        <v>681</v>
      </c>
      <c r="B7813" t="s">
        <v>538</v>
      </c>
      <c r="C7813" s="2">
        <f>HYPERLINK("https://sao.dolgi.msk.ru/account/1404264947/", 1404264947)</f>
        <v>1404264947</v>
      </c>
      <c r="D7813">
        <v>-29555.360000000001</v>
      </c>
    </row>
    <row r="7814" spans="1:4" hidden="1" x14ac:dyDescent="0.25">
      <c r="A7814" t="s">
        <v>681</v>
      </c>
      <c r="B7814" t="s">
        <v>539</v>
      </c>
      <c r="C7814" s="2">
        <f>HYPERLINK("https://sao.dolgi.msk.ru/account/1404265923/", 1404265923)</f>
        <v>1404265923</v>
      </c>
      <c r="D7814">
        <v>0</v>
      </c>
    </row>
    <row r="7815" spans="1:4" x14ac:dyDescent="0.25">
      <c r="A7815" t="s">
        <v>681</v>
      </c>
      <c r="B7815" t="s">
        <v>540</v>
      </c>
      <c r="C7815" s="2">
        <f>HYPERLINK("https://sao.dolgi.msk.ru/account/1404267144/", 1404267144)</f>
        <v>1404267144</v>
      </c>
      <c r="D7815">
        <v>729.93</v>
      </c>
    </row>
    <row r="7816" spans="1:4" hidden="1" x14ac:dyDescent="0.25">
      <c r="A7816" t="s">
        <v>681</v>
      </c>
      <c r="B7816" t="s">
        <v>541</v>
      </c>
      <c r="C7816" s="2">
        <f>HYPERLINK("https://sao.dolgi.msk.ru/account/1404265069/", 1404265069)</f>
        <v>1404265069</v>
      </c>
      <c r="D7816">
        <v>-3085.42</v>
      </c>
    </row>
    <row r="7817" spans="1:4" hidden="1" x14ac:dyDescent="0.25">
      <c r="A7817" t="s">
        <v>681</v>
      </c>
      <c r="B7817" t="s">
        <v>542</v>
      </c>
      <c r="C7817" s="2">
        <f>HYPERLINK("https://sao.dolgi.msk.ru/account/1404267689/", 1404267689)</f>
        <v>1404267689</v>
      </c>
      <c r="D7817">
        <v>-12470.05</v>
      </c>
    </row>
    <row r="7818" spans="1:4" x14ac:dyDescent="0.25">
      <c r="A7818" t="s">
        <v>681</v>
      </c>
      <c r="B7818" t="s">
        <v>543</v>
      </c>
      <c r="C7818" s="2">
        <f>HYPERLINK("https://sao.dolgi.msk.ru/account/1404267224/", 1404267224)</f>
        <v>1404267224</v>
      </c>
      <c r="D7818">
        <v>96370.8</v>
      </c>
    </row>
    <row r="7819" spans="1:4" x14ac:dyDescent="0.25">
      <c r="A7819" t="s">
        <v>681</v>
      </c>
      <c r="B7819" t="s">
        <v>544</v>
      </c>
      <c r="C7819" s="2">
        <f>HYPERLINK("https://sao.dolgi.msk.ru/account/1404266491/", 1404266491)</f>
        <v>1404266491</v>
      </c>
      <c r="D7819">
        <v>11030.07</v>
      </c>
    </row>
    <row r="7820" spans="1:4" x14ac:dyDescent="0.25">
      <c r="A7820" t="s">
        <v>681</v>
      </c>
      <c r="B7820" t="s">
        <v>545</v>
      </c>
      <c r="C7820" s="2">
        <f>HYPERLINK("https://sao.dolgi.msk.ru/account/1404264568/", 1404264568)</f>
        <v>1404264568</v>
      </c>
      <c r="D7820">
        <v>19435.63</v>
      </c>
    </row>
    <row r="7821" spans="1:4" hidden="1" x14ac:dyDescent="0.25">
      <c r="A7821" t="s">
        <v>681</v>
      </c>
      <c r="B7821" t="s">
        <v>546</v>
      </c>
      <c r="C7821" s="2">
        <f>HYPERLINK("https://sao.dolgi.msk.ru/account/1404266002/", 1404266002)</f>
        <v>1404266002</v>
      </c>
      <c r="D7821">
        <v>-6150.92</v>
      </c>
    </row>
    <row r="7822" spans="1:4" hidden="1" x14ac:dyDescent="0.25">
      <c r="A7822" t="s">
        <v>681</v>
      </c>
      <c r="B7822" t="s">
        <v>547</v>
      </c>
      <c r="C7822" s="2">
        <f>HYPERLINK("https://sao.dolgi.msk.ru/account/1404266811/", 1404266811)</f>
        <v>1404266811</v>
      </c>
      <c r="D7822">
        <v>-14170.99</v>
      </c>
    </row>
    <row r="7823" spans="1:4" x14ac:dyDescent="0.25">
      <c r="A7823" t="s">
        <v>681</v>
      </c>
      <c r="B7823" t="s">
        <v>548</v>
      </c>
      <c r="C7823" s="2">
        <f>HYPERLINK("https://sao.dolgi.msk.ru/account/1404267232/", 1404267232)</f>
        <v>1404267232</v>
      </c>
      <c r="D7823">
        <v>1513.59</v>
      </c>
    </row>
    <row r="7824" spans="1:4" hidden="1" x14ac:dyDescent="0.25">
      <c r="A7824" t="s">
        <v>681</v>
      </c>
      <c r="B7824" t="s">
        <v>549</v>
      </c>
      <c r="C7824" s="2">
        <f>HYPERLINK("https://sao.dolgi.msk.ru/account/1404266029/", 1404266029)</f>
        <v>1404266029</v>
      </c>
      <c r="D7824">
        <v>-6184.87</v>
      </c>
    </row>
    <row r="7825" spans="1:4" hidden="1" x14ac:dyDescent="0.25">
      <c r="A7825" t="s">
        <v>681</v>
      </c>
      <c r="B7825" t="s">
        <v>550</v>
      </c>
      <c r="C7825" s="2">
        <f>HYPERLINK("https://sao.dolgi.msk.ru/account/1404264779/", 1404264779)</f>
        <v>1404264779</v>
      </c>
      <c r="D7825">
        <v>-3070.64</v>
      </c>
    </row>
    <row r="7826" spans="1:4" hidden="1" x14ac:dyDescent="0.25">
      <c r="A7826" t="s">
        <v>681</v>
      </c>
      <c r="B7826" t="s">
        <v>550</v>
      </c>
      <c r="C7826" s="2">
        <f>HYPERLINK("https://sao.dolgi.msk.ru/account/1404267259/", 1404267259)</f>
        <v>1404267259</v>
      </c>
      <c r="D7826">
        <v>-3070.64</v>
      </c>
    </row>
    <row r="7827" spans="1:4" hidden="1" x14ac:dyDescent="0.25">
      <c r="A7827" t="s">
        <v>681</v>
      </c>
      <c r="B7827" t="s">
        <v>551</v>
      </c>
      <c r="C7827" s="2">
        <f>HYPERLINK("https://sao.dolgi.msk.ru/account/1404267857/", 1404267857)</f>
        <v>1404267857</v>
      </c>
      <c r="D7827">
        <v>-6726.3</v>
      </c>
    </row>
    <row r="7828" spans="1:4" x14ac:dyDescent="0.25">
      <c r="A7828" t="s">
        <v>681</v>
      </c>
      <c r="B7828" t="s">
        <v>552</v>
      </c>
      <c r="C7828" s="2">
        <f>HYPERLINK("https://sao.dolgi.msk.ru/account/1404265341/", 1404265341)</f>
        <v>1404265341</v>
      </c>
      <c r="D7828">
        <v>14217.78</v>
      </c>
    </row>
    <row r="7829" spans="1:4" hidden="1" x14ac:dyDescent="0.25">
      <c r="A7829" t="s">
        <v>681</v>
      </c>
      <c r="B7829" t="s">
        <v>553</v>
      </c>
      <c r="C7829" s="2">
        <f>HYPERLINK("https://sao.dolgi.msk.ru/account/1404267865/", 1404267865)</f>
        <v>1404267865</v>
      </c>
      <c r="D7829">
        <v>-3650.98</v>
      </c>
    </row>
    <row r="7830" spans="1:4" hidden="1" x14ac:dyDescent="0.25">
      <c r="A7830" t="s">
        <v>681</v>
      </c>
      <c r="B7830" t="s">
        <v>554</v>
      </c>
      <c r="C7830" s="2">
        <f>HYPERLINK("https://sao.dolgi.msk.ru/account/1404267064/", 1404267064)</f>
        <v>1404267064</v>
      </c>
      <c r="D7830">
        <v>-2726.26</v>
      </c>
    </row>
    <row r="7831" spans="1:4" x14ac:dyDescent="0.25">
      <c r="A7831" t="s">
        <v>681</v>
      </c>
      <c r="B7831" t="s">
        <v>555</v>
      </c>
      <c r="C7831" s="2">
        <f>HYPERLINK("https://sao.dolgi.msk.ru/account/1404264832/", 1404264832)</f>
        <v>1404264832</v>
      </c>
      <c r="D7831">
        <v>7554.38</v>
      </c>
    </row>
    <row r="7832" spans="1:4" x14ac:dyDescent="0.25">
      <c r="A7832" t="s">
        <v>681</v>
      </c>
      <c r="B7832" t="s">
        <v>557</v>
      </c>
      <c r="C7832" s="2">
        <f>HYPERLINK("https://sao.dolgi.msk.ru/account/1404265413/", 1404265413)</f>
        <v>1404265413</v>
      </c>
      <c r="D7832">
        <v>6537.39</v>
      </c>
    </row>
    <row r="7833" spans="1:4" hidden="1" x14ac:dyDescent="0.25">
      <c r="A7833" t="s">
        <v>681</v>
      </c>
      <c r="B7833" t="s">
        <v>558</v>
      </c>
      <c r="C7833" s="2">
        <f>HYPERLINK("https://sao.dolgi.msk.ru/account/1404265368/", 1404265368)</f>
        <v>1404265368</v>
      </c>
      <c r="D7833">
        <v>-4942.5600000000004</v>
      </c>
    </row>
    <row r="7834" spans="1:4" hidden="1" x14ac:dyDescent="0.25">
      <c r="A7834" t="s">
        <v>681</v>
      </c>
      <c r="B7834" t="s">
        <v>559</v>
      </c>
      <c r="C7834" s="2">
        <f>HYPERLINK("https://sao.dolgi.msk.ru/account/1404265376/", 1404265376)</f>
        <v>1404265376</v>
      </c>
      <c r="D7834">
        <v>-9281.7000000000007</v>
      </c>
    </row>
    <row r="7835" spans="1:4" hidden="1" x14ac:dyDescent="0.25">
      <c r="A7835" t="s">
        <v>681</v>
      </c>
      <c r="B7835" t="s">
        <v>560</v>
      </c>
      <c r="C7835" s="2">
        <f>HYPERLINK("https://sao.dolgi.msk.ru/account/1404266328/", 1404266328)</f>
        <v>1404266328</v>
      </c>
      <c r="D7835">
        <v>-4338.7299999999996</v>
      </c>
    </row>
    <row r="7836" spans="1:4" hidden="1" x14ac:dyDescent="0.25">
      <c r="A7836" t="s">
        <v>681</v>
      </c>
      <c r="B7836" t="s">
        <v>561</v>
      </c>
      <c r="C7836" s="2">
        <f>HYPERLINK("https://sao.dolgi.msk.ru/account/1404265763/", 1404265763)</f>
        <v>1404265763</v>
      </c>
      <c r="D7836">
        <v>-4296.76</v>
      </c>
    </row>
    <row r="7837" spans="1:4" hidden="1" x14ac:dyDescent="0.25">
      <c r="A7837" t="s">
        <v>681</v>
      </c>
      <c r="B7837" t="s">
        <v>562</v>
      </c>
      <c r="C7837" s="2">
        <f>HYPERLINK("https://sao.dolgi.msk.ru/account/1404265771/", 1404265771)</f>
        <v>1404265771</v>
      </c>
      <c r="D7837">
        <v>-3244.37</v>
      </c>
    </row>
    <row r="7838" spans="1:4" x14ac:dyDescent="0.25">
      <c r="A7838" t="s">
        <v>681</v>
      </c>
      <c r="B7838" t="s">
        <v>563</v>
      </c>
      <c r="C7838" s="2">
        <f>HYPERLINK("https://sao.dolgi.msk.ru/account/1404266686/", 1404266686)</f>
        <v>1404266686</v>
      </c>
      <c r="D7838">
        <v>29530.27</v>
      </c>
    </row>
    <row r="7839" spans="1:4" x14ac:dyDescent="0.25">
      <c r="A7839" t="s">
        <v>681</v>
      </c>
      <c r="B7839" t="s">
        <v>564</v>
      </c>
      <c r="C7839" s="2">
        <f>HYPERLINK("https://sao.dolgi.msk.ru/account/1404266694/", 1404266694)</f>
        <v>1404266694</v>
      </c>
      <c r="D7839">
        <v>1013.51</v>
      </c>
    </row>
    <row r="7840" spans="1:4" hidden="1" x14ac:dyDescent="0.25">
      <c r="A7840" t="s">
        <v>681</v>
      </c>
      <c r="B7840" t="s">
        <v>565</v>
      </c>
      <c r="C7840" s="2">
        <f>HYPERLINK("https://sao.dolgi.msk.ru/account/1404267072/", 1404267072)</f>
        <v>1404267072</v>
      </c>
      <c r="D7840">
        <v>-3163.7</v>
      </c>
    </row>
    <row r="7841" spans="1:4" x14ac:dyDescent="0.25">
      <c r="A7841" t="s">
        <v>681</v>
      </c>
      <c r="B7841" t="s">
        <v>566</v>
      </c>
      <c r="C7841" s="2">
        <f>HYPERLINK("https://sao.dolgi.msk.ru/account/1404267099/", 1404267099)</f>
        <v>1404267099</v>
      </c>
      <c r="D7841">
        <v>4952.6000000000004</v>
      </c>
    </row>
    <row r="7842" spans="1:4" x14ac:dyDescent="0.25">
      <c r="A7842" t="s">
        <v>681</v>
      </c>
      <c r="B7842" t="s">
        <v>567</v>
      </c>
      <c r="C7842" s="2">
        <f>HYPERLINK("https://sao.dolgi.msk.ru/account/1404266707/", 1404266707)</f>
        <v>1404266707</v>
      </c>
      <c r="D7842">
        <v>91329.89</v>
      </c>
    </row>
    <row r="7843" spans="1:4" x14ac:dyDescent="0.25">
      <c r="A7843" t="s">
        <v>681</v>
      </c>
      <c r="B7843" t="s">
        <v>568</v>
      </c>
      <c r="C7843" s="2">
        <f>HYPERLINK("https://sao.dolgi.msk.ru/account/1404265384/", 1404265384)</f>
        <v>1404265384</v>
      </c>
      <c r="D7843">
        <v>32467.81</v>
      </c>
    </row>
    <row r="7844" spans="1:4" hidden="1" x14ac:dyDescent="0.25">
      <c r="A7844" t="s">
        <v>681</v>
      </c>
      <c r="B7844" t="s">
        <v>569</v>
      </c>
      <c r="C7844" s="2">
        <f>HYPERLINK("https://sao.dolgi.msk.ru/account/1404265798/", 1404265798)</f>
        <v>1404265798</v>
      </c>
      <c r="D7844">
        <v>0</v>
      </c>
    </row>
    <row r="7845" spans="1:4" hidden="1" x14ac:dyDescent="0.25">
      <c r="A7845" t="s">
        <v>681</v>
      </c>
      <c r="B7845" t="s">
        <v>570</v>
      </c>
      <c r="C7845" s="2">
        <f>HYPERLINK("https://sao.dolgi.msk.ru/account/1404266336/", 1404266336)</f>
        <v>1404266336</v>
      </c>
      <c r="D7845">
        <v>-5159.71</v>
      </c>
    </row>
    <row r="7846" spans="1:4" hidden="1" x14ac:dyDescent="0.25">
      <c r="A7846" t="s">
        <v>681</v>
      </c>
      <c r="B7846" t="s">
        <v>571</v>
      </c>
      <c r="C7846" s="2">
        <f>HYPERLINK("https://sao.dolgi.msk.ru/account/1404264859/", 1404264859)</f>
        <v>1404264859</v>
      </c>
      <c r="D7846">
        <v>-5987.55</v>
      </c>
    </row>
    <row r="7847" spans="1:4" x14ac:dyDescent="0.25">
      <c r="A7847" t="s">
        <v>681</v>
      </c>
      <c r="B7847" t="s">
        <v>572</v>
      </c>
      <c r="C7847" s="2">
        <f>HYPERLINK("https://sao.dolgi.msk.ru/account/1404267777/", 1404267777)</f>
        <v>1404267777</v>
      </c>
      <c r="D7847">
        <v>9097.7900000000009</v>
      </c>
    </row>
    <row r="7848" spans="1:4" hidden="1" x14ac:dyDescent="0.25">
      <c r="A7848" t="s">
        <v>681</v>
      </c>
      <c r="B7848" t="s">
        <v>573</v>
      </c>
      <c r="C7848" s="2">
        <f>HYPERLINK("https://sao.dolgi.msk.ru/account/1404266117/", 1404266117)</f>
        <v>1404266117</v>
      </c>
      <c r="D7848">
        <v>0</v>
      </c>
    </row>
    <row r="7849" spans="1:4" x14ac:dyDescent="0.25">
      <c r="A7849" t="s">
        <v>681</v>
      </c>
      <c r="B7849" t="s">
        <v>574</v>
      </c>
      <c r="C7849" s="2">
        <f>HYPERLINK("https://sao.dolgi.msk.ru/account/1404266942/", 1404266942)</f>
        <v>1404266942</v>
      </c>
      <c r="D7849">
        <v>15101.54</v>
      </c>
    </row>
    <row r="7850" spans="1:4" hidden="1" x14ac:dyDescent="0.25">
      <c r="A7850" t="s">
        <v>681</v>
      </c>
      <c r="B7850" t="s">
        <v>575</v>
      </c>
      <c r="C7850" s="2">
        <f>HYPERLINK("https://sao.dolgi.msk.ru/account/1404267785/", 1404267785)</f>
        <v>1404267785</v>
      </c>
      <c r="D7850">
        <v>-7420.47</v>
      </c>
    </row>
    <row r="7851" spans="1:4" hidden="1" x14ac:dyDescent="0.25">
      <c r="A7851" t="s">
        <v>681</v>
      </c>
      <c r="B7851" t="s">
        <v>576</v>
      </c>
      <c r="C7851" s="2">
        <f>HYPERLINK("https://sao.dolgi.msk.ru/account/1404264648/", 1404264648)</f>
        <v>1404264648</v>
      </c>
      <c r="D7851">
        <v>-4583.8900000000003</v>
      </c>
    </row>
    <row r="7852" spans="1:4" hidden="1" x14ac:dyDescent="0.25">
      <c r="A7852" t="s">
        <v>681</v>
      </c>
      <c r="B7852" t="s">
        <v>577</v>
      </c>
      <c r="C7852" s="2">
        <f>HYPERLINK("https://sao.dolgi.msk.ru/account/1404266969/", 1404266969)</f>
        <v>1404266969</v>
      </c>
      <c r="D7852">
        <v>0</v>
      </c>
    </row>
    <row r="7853" spans="1:4" hidden="1" x14ac:dyDescent="0.25">
      <c r="A7853" t="s">
        <v>681</v>
      </c>
      <c r="B7853" t="s">
        <v>578</v>
      </c>
      <c r="C7853" s="2">
        <f>HYPERLINK("https://sao.dolgi.msk.ru/account/1404265114/", 1404265114)</f>
        <v>1404265114</v>
      </c>
      <c r="D7853">
        <v>-3632.18</v>
      </c>
    </row>
    <row r="7854" spans="1:4" hidden="1" x14ac:dyDescent="0.25">
      <c r="A7854" t="s">
        <v>681</v>
      </c>
      <c r="B7854" t="s">
        <v>579</v>
      </c>
      <c r="C7854" s="2">
        <f>HYPERLINK("https://sao.dolgi.msk.ru/account/1404265667/", 1404265667)</f>
        <v>1404265667</v>
      </c>
      <c r="D7854">
        <v>-7887.82</v>
      </c>
    </row>
    <row r="7855" spans="1:4" hidden="1" x14ac:dyDescent="0.25">
      <c r="A7855" t="s">
        <v>681</v>
      </c>
      <c r="B7855" t="s">
        <v>580</v>
      </c>
      <c r="C7855" s="2">
        <f>HYPERLINK("https://sao.dolgi.msk.ru/account/1404266125/", 1404266125)</f>
        <v>1404266125</v>
      </c>
      <c r="D7855">
        <v>-4410.49</v>
      </c>
    </row>
    <row r="7856" spans="1:4" hidden="1" x14ac:dyDescent="0.25">
      <c r="A7856" t="s">
        <v>681</v>
      </c>
      <c r="B7856" t="s">
        <v>581</v>
      </c>
      <c r="C7856" s="2">
        <f>HYPERLINK("https://sao.dolgi.msk.ru/account/1404265122/", 1404265122)</f>
        <v>1404265122</v>
      </c>
      <c r="D7856">
        <v>-5383.12</v>
      </c>
    </row>
    <row r="7857" spans="1:4" hidden="1" x14ac:dyDescent="0.25">
      <c r="A7857" t="s">
        <v>681</v>
      </c>
      <c r="B7857" t="s">
        <v>582</v>
      </c>
      <c r="C7857" s="2">
        <f>HYPERLINK("https://sao.dolgi.msk.ru/account/1404265149/", 1404265149)</f>
        <v>1404265149</v>
      </c>
      <c r="D7857">
        <v>-3183.26</v>
      </c>
    </row>
    <row r="7858" spans="1:4" x14ac:dyDescent="0.25">
      <c r="A7858" t="s">
        <v>681</v>
      </c>
      <c r="B7858" t="s">
        <v>583</v>
      </c>
      <c r="C7858" s="2">
        <f>HYPERLINK("https://sao.dolgi.msk.ru/account/1404266133/", 1404266133)</f>
        <v>1404266133</v>
      </c>
      <c r="D7858">
        <v>6470.37</v>
      </c>
    </row>
    <row r="7859" spans="1:4" x14ac:dyDescent="0.25">
      <c r="A7859" t="s">
        <v>681</v>
      </c>
      <c r="B7859" t="s">
        <v>584</v>
      </c>
      <c r="C7859" s="2">
        <f>HYPERLINK("https://sao.dolgi.msk.ru/account/1404267339/", 1404267339)</f>
        <v>1404267339</v>
      </c>
      <c r="D7859">
        <v>6481.75</v>
      </c>
    </row>
    <row r="7860" spans="1:4" hidden="1" x14ac:dyDescent="0.25">
      <c r="A7860" t="s">
        <v>681</v>
      </c>
      <c r="B7860" t="s">
        <v>585</v>
      </c>
      <c r="C7860" s="2">
        <f>HYPERLINK("https://sao.dolgi.msk.ru/account/1404264656/", 1404264656)</f>
        <v>1404264656</v>
      </c>
      <c r="D7860">
        <v>-3031.2</v>
      </c>
    </row>
    <row r="7861" spans="1:4" x14ac:dyDescent="0.25">
      <c r="A7861" t="s">
        <v>681</v>
      </c>
      <c r="B7861" t="s">
        <v>586</v>
      </c>
      <c r="C7861" s="2">
        <f>HYPERLINK("https://sao.dolgi.msk.ru/account/1404265675/", 1404265675)</f>
        <v>1404265675</v>
      </c>
      <c r="D7861">
        <v>17179.080000000002</v>
      </c>
    </row>
    <row r="7862" spans="1:4" hidden="1" x14ac:dyDescent="0.25">
      <c r="A7862" t="s">
        <v>682</v>
      </c>
      <c r="B7862" t="s">
        <v>5</v>
      </c>
      <c r="C7862" s="2">
        <f>HYPERLINK("https://sao.dolgi.msk.ru/account/1404270503/", 1404270503)</f>
        <v>1404270503</v>
      </c>
      <c r="D7862">
        <v>-3945.19</v>
      </c>
    </row>
    <row r="7863" spans="1:4" x14ac:dyDescent="0.25">
      <c r="A7863" t="s">
        <v>682</v>
      </c>
      <c r="B7863" t="s">
        <v>6</v>
      </c>
      <c r="C7863" s="2">
        <f>HYPERLINK("https://sao.dolgi.msk.ru/account/1404267988/", 1404267988)</f>
        <v>1404267988</v>
      </c>
      <c r="D7863">
        <v>3231.78</v>
      </c>
    </row>
    <row r="7864" spans="1:4" x14ac:dyDescent="0.25">
      <c r="A7864" t="s">
        <v>682</v>
      </c>
      <c r="B7864" t="s">
        <v>7</v>
      </c>
      <c r="C7864" s="2">
        <f>HYPERLINK("https://sao.dolgi.msk.ru/account/1404270706/", 1404270706)</f>
        <v>1404270706</v>
      </c>
      <c r="D7864">
        <v>7884.25</v>
      </c>
    </row>
    <row r="7865" spans="1:4" x14ac:dyDescent="0.25">
      <c r="A7865" t="s">
        <v>682</v>
      </c>
      <c r="B7865" t="s">
        <v>8</v>
      </c>
      <c r="C7865" s="2">
        <f>HYPERLINK("https://sao.dolgi.msk.ru/account/1404270677/", 1404270677)</f>
        <v>1404270677</v>
      </c>
      <c r="D7865">
        <v>9873</v>
      </c>
    </row>
    <row r="7866" spans="1:4" hidden="1" x14ac:dyDescent="0.25">
      <c r="A7866" t="s">
        <v>682</v>
      </c>
      <c r="B7866" t="s">
        <v>9</v>
      </c>
      <c r="C7866" s="2">
        <f>HYPERLINK("https://sao.dolgi.msk.ru/account/1404270175/", 1404270175)</f>
        <v>1404270175</v>
      </c>
      <c r="D7866">
        <v>-2624.53</v>
      </c>
    </row>
    <row r="7867" spans="1:4" hidden="1" x14ac:dyDescent="0.25">
      <c r="A7867" t="s">
        <v>682</v>
      </c>
      <c r="B7867" t="s">
        <v>10</v>
      </c>
      <c r="C7867" s="2">
        <f>HYPERLINK("https://sao.dolgi.msk.ru/account/1404269027/", 1404269027)</f>
        <v>1404269027</v>
      </c>
      <c r="D7867">
        <v>-4566.47</v>
      </c>
    </row>
    <row r="7868" spans="1:4" hidden="1" x14ac:dyDescent="0.25">
      <c r="A7868" t="s">
        <v>682</v>
      </c>
      <c r="B7868" t="s">
        <v>11</v>
      </c>
      <c r="C7868" s="2">
        <f>HYPERLINK("https://sao.dolgi.msk.ru/account/1404268614/", 1404268614)</f>
        <v>1404268614</v>
      </c>
      <c r="D7868">
        <v>0</v>
      </c>
    </row>
    <row r="7869" spans="1:4" hidden="1" x14ac:dyDescent="0.25">
      <c r="A7869" t="s">
        <v>682</v>
      </c>
      <c r="B7869" t="s">
        <v>12</v>
      </c>
      <c r="C7869" s="2">
        <f>HYPERLINK("https://sao.dolgi.msk.ru/account/1404271397/", 1404271397)</f>
        <v>1404271397</v>
      </c>
      <c r="D7869">
        <v>0</v>
      </c>
    </row>
    <row r="7870" spans="1:4" hidden="1" x14ac:dyDescent="0.25">
      <c r="A7870" t="s">
        <v>682</v>
      </c>
      <c r="B7870" t="s">
        <v>13</v>
      </c>
      <c r="C7870" s="2">
        <f>HYPERLINK("https://sao.dolgi.msk.ru/account/1404270036/", 1404270036)</f>
        <v>1404270036</v>
      </c>
      <c r="D7870">
        <v>-7188.58</v>
      </c>
    </row>
    <row r="7871" spans="1:4" hidden="1" x14ac:dyDescent="0.25">
      <c r="A7871" t="s">
        <v>682</v>
      </c>
      <c r="B7871" t="s">
        <v>14</v>
      </c>
      <c r="C7871" s="2">
        <f>HYPERLINK("https://sao.dolgi.msk.ru/account/1404270511/", 1404270511)</f>
        <v>1404270511</v>
      </c>
      <c r="D7871">
        <v>0</v>
      </c>
    </row>
    <row r="7872" spans="1:4" x14ac:dyDescent="0.25">
      <c r="A7872" t="s">
        <v>682</v>
      </c>
      <c r="B7872" t="s">
        <v>15</v>
      </c>
      <c r="C7872" s="2">
        <f>HYPERLINK("https://sao.dolgi.msk.ru/account/1404269596/", 1404269596)</f>
        <v>1404269596</v>
      </c>
      <c r="D7872">
        <v>4908.66</v>
      </c>
    </row>
    <row r="7873" spans="1:4" hidden="1" x14ac:dyDescent="0.25">
      <c r="A7873" t="s">
        <v>682</v>
      </c>
      <c r="B7873" t="s">
        <v>16</v>
      </c>
      <c r="C7873" s="2">
        <f>HYPERLINK("https://sao.dolgi.msk.ru/account/1404268059/", 1404268059)</f>
        <v>1404268059</v>
      </c>
      <c r="D7873">
        <v>-7087.69</v>
      </c>
    </row>
    <row r="7874" spans="1:4" hidden="1" x14ac:dyDescent="0.25">
      <c r="A7874" t="s">
        <v>682</v>
      </c>
      <c r="B7874" t="s">
        <v>17</v>
      </c>
      <c r="C7874" s="2">
        <f>HYPERLINK("https://sao.dolgi.msk.ru/account/1404269377/", 1404269377)</f>
        <v>1404269377</v>
      </c>
      <c r="D7874">
        <v>0</v>
      </c>
    </row>
    <row r="7875" spans="1:4" x14ac:dyDescent="0.25">
      <c r="A7875" t="s">
        <v>682</v>
      </c>
      <c r="B7875" t="s">
        <v>18</v>
      </c>
      <c r="C7875" s="2">
        <f>HYPERLINK("https://sao.dolgi.msk.ru/account/1404268083/", 1404268083)</f>
        <v>1404268083</v>
      </c>
      <c r="D7875">
        <v>1517.65</v>
      </c>
    </row>
    <row r="7876" spans="1:4" x14ac:dyDescent="0.25">
      <c r="A7876" t="s">
        <v>682</v>
      </c>
      <c r="B7876" t="s">
        <v>19</v>
      </c>
      <c r="C7876" s="2">
        <f>HYPERLINK("https://sao.dolgi.msk.ru/account/1404270319/", 1404270319)</f>
        <v>1404270319</v>
      </c>
      <c r="D7876">
        <v>19086.240000000002</v>
      </c>
    </row>
    <row r="7877" spans="1:4" hidden="1" x14ac:dyDescent="0.25">
      <c r="A7877" t="s">
        <v>682</v>
      </c>
      <c r="B7877" t="s">
        <v>20</v>
      </c>
      <c r="C7877" s="2">
        <f>HYPERLINK("https://sao.dolgi.msk.ru/account/1404270343/", 1404270343)</f>
        <v>1404270343</v>
      </c>
      <c r="D7877">
        <v>-8522.9599999999991</v>
      </c>
    </row>
    <row r="7878" spans="1:4" x14ac:dyDescent="0.25">
      <c r="A7878" t="s">
        <v>682</v>
      </c>
      <c r="B7878" t="s">
        <v>21</v>
      </c>
      <c r="C7878" s="2">
        <f>HYPERLINK("https://sao.dolgi.msk.ru/account/1404271346/", 1404271346)</f>
        <v>1404271346</v>
      </c>
      <c r="D7878">
        <v>14426.43</v>
      </c>
    </row>
    <row r="7879" spans="1:4" hidden="1" x14ac:dyDescent="0.25">
      <c r="A7879" t="s">
        <v>682</v>
      </c>
      <c r="B7879" t="s">
        <v>22</v>
      </c>
      <c r="C7879" s="2">
        <f>HYPERLINK("https://sao.dolgi.msk.ru/account/1404269174/", 1404269174)</f>
        <v>1404269174</v>
      </c>
      <c r="D7879">
        <v>-6008.24</v>
      </c>
    </row>
    <row r="7880" spans="1:4" hidden="1" x14ac:dyDescent="0.25">
      <c r="A7880" t="s">
        <v>682</v>
      </c>
      <c r="B7880" t="s">
        <v>23</v>
      </c>
      <c r="C7880" s="2">
        <f>HYPERLINK("https://sao.dolgi.msk.ru/account/1404269748/", 1404269748)</f>
        <v>1404269748</v>
      </c>
      <c r="D7880">
        <v>-3601.26</v>
      </c>
    </row>
    <row r="7881" spans="1:4" hidden="1" x14ac:dyDescent="0.25">
      <c r="A7881" t="s">
        <v>682</v>
      </c>
      <c r="B7881" t="s">
        <v>24</v>
      </c>
      <c r="C7881" s="2">
        <f>HYPERLINK("https://sao.dolgi.msk.ru/account/1404268323/", 1404268323)</f>
        <v>1404268323</v>
      </c>
      <c r="D7881">
        <v>-7512.92</v>
      </c>
    </row>
    <row r="7882" spans="1:4" x14ac:dyDescent="0.25">
      <c r="A7882" t="s">
        <v>682</v>
      </c>
      <c r="B7882" t="s">
        <v>25</v>
      </c>
      <c r="C7882" s="2">
        <f>HYPERLINK("https://sao.dolgi.msk.ru/account/1404270589/", 1404270589)</f>
        <v>1404270589</v>
      </c>
      <c r="D7882">
        <v>6608.32</v>
      </c>
    </row>
    <row r="7883" spans="1:4" hidden="1" x14ac:dyDescent="0.25">
      <c r="A7883" t="s">
        <v>682</v>
      </c>
      <c r="B7883" t="s">
        <v>26</v>
      </c>
      <c r="C7883" s="2">
        <f>HYPERLINK("https://sao.dolgi.msk.ru/account/1404270546/", 1404270546)</f>
        <v>1404270546</v>
      </c>
      <c r="D7883">
        <v>-6817.09</v>
      </c>
    </row>
    <row r="7884" spans="1:4" x14ac:dyDescent="0.25">
      <c r="A7884" t="s">
        <v>682</v>
      </c>
      <c r="B7884" t="s">
        <v>27</v>
      </c>
      <c r="C7884" s="2">
        <f>HYPERLINK("https://sao.dolgi.msk.ru/account/1404268497/", 1404268497)</f>
        <v>1404268497</v>
      </c>
      <c r="D7884">
        <v>13923.15</v>
      </c>
    </row>
    <row r="7885" spans="1:4" x14ac:dyDescent="0.25">
      <c r="A7885" t="s">
        <v>682</v>
      </c>
      <c r="B7885" t="s">
        <v>28</v>
      </c>
      <c r="C7885" s="2">
        <f>HYPERLINK("https://sao.dolgi.msk.ru/account/1404269473/", 1404269473)</f>
        <v>1404269473</v>
      </c>
      <c r="D7885">
        <v>9150.51</v>
      </c>
    </row>
    <row r="7886" spans="1:4" hidden="1" x14ac:dyDescent="0.25">
      <c r="A7886" t="s">
        <v>682</v>
      </c>
      <c r="B7886" t="s">
        <v>29</v>
      </c>
      <c r="C7886" s="2">
        <f>HYPERLINK("https://sao.dolgi.msk.ru/account/1404268964/", 1404268964)</f>
        <v>1404268964</v>
      </c>
      <c r="D7886">
        <v>-4337.07</v>
      </c>
    </row>
    <row r="7887" spans="1:4" x14ac:dyDescent="0.25">
      <c r="A7887" t="s">
        <v>682</v>
      </c>
      <c r="B7887" t="s">
        <v>30</v>
      </c>
      <c r="C7887" s="2">
        <f>HYPERLINK("https://sao.dolgi.msk.ru/account/1404271303/", 1404271303)</f>
        <v>1404271303</v>
      </c>
      <c r="D7887">
        <v>16172.87</v>
      </c>
    </row>
    <row r="7888" spans="1:4" hidden="1" x14ac:dyDescent="0.25">
      <c r="A7888" t="s">
        <v>682</v>
      </c>
      <c r="B7888" t="s">
        <v>31</v>
      </c>
      <c r="C7888" s="2">
        <f>HYPERLINK("https://sao.dolgi.msk.ru/account/1404271194/", 1404271194)</f>
        <v>1404271194</v>
      </c>
      <c r="D7888">
        <v>0</v>
      </c>
    </row>
    <row r="7889" spans="1:4" hidden="1" x14ac:dyDescent="0.25">
      <c r="A7889" t="s">
        <v>682</v>
      </c>
      <c r="B7889" t="s">
        <v>32</v>
      </c>
      <c r="C7889" s="2">
        <f>HYPERLINK("https://sao.dolgi.msk.ru/account/1404268833/", 1404268833)</f>
        <v>1404268833</v>
      </c>
      <c r="D7889">
        <v>-5132.38</v>
      </c>
    </row>
    <row r="7890" spans="1:4" hidden="1" x14ac:dyDescent="0.25">
      <c r="A7890" t="s">
        <v>682</v>
      </c>
      <c r="B7890" t="s">
        <v>33</v>
      </c>
      <c r="C7890" s="2">
        <f>HYPERLINK("https://sao.dolgi.msk.ru/account/1404269772/", 1404269772)</f>
        <v>1404269772</v>
      </c>
      <c r="D7890">
        <v>0</v>
      </c>
    </row>
    <row r="7891" spans="1:4" hidden="1" x14ac:dyDescent="0.25">
      <c r="A7891" t="s">
        <v>682</v>
      </c>
      <c r="B7891" t="s">
        <v>34</v>
      </c>
      <c r="C7891" s="2">
        <f>HYPERLINK("https://sao.dolgi.msk.ru/account/1404269764/", 1404269764)</f>
        <v>1404269764</v>
      </c>
      <c r="D7891">
        <v>-5060.51</v>
      </c>
    </row>
    <row r="7892" spans="1:4" hidden="1" x14ac:dyDescent="0.25">
      <c r="A7892" t="s">
        <v>682</v>
      </c>
      <c r="B7892" t="s">
        <v>35</v>
      </c>
      <c r="C7892" s="2">
        <f>HYPERLINK("https://sao.dolgi.msk.ru/account/1404268024/", 1404268024)</f>
        <v>1404268024</v>
      </c>
      <c r="D7892">
        <v>-2841.25</v>
      </c>
    </row>
    <row r="7893" spans="1:4" hidden="1" x14ac:dyDescent="0.25">
      <c r="A7893" t="s">
        <v>682</v>
      </c>
      <c r="B7893" t="s">
        <v>36</v>
      </c>
      <c r="C7893" s="2">
        <f>HYPERLINK("https://sao.dolgi.msk.ru/account/1404268761/", 1404268761)</f>
        <v>1404268761</v>
      </c>
      <c r="D7893">
        <v>-12276.1</v>
      </c>
    </row>
    <row r="7894" spans="1:4" x14ac:dyDescent="0.25">
      <c r="A7894" t="s">
        <v>682</v>
      </c>
      <c r="B7894" t="s">
        <v>37</v>
      </c>
      <c r="C7894" s="2">
        <f>HYPERLINK("https://sao.dolgi.msk.ru/account/1404268788/", 1404268788)</f>
        <v>1404268788</v>
      </c>
      <c r="D7894">
        <v>29834.3</v>
      </c>
    </row>
    <row r="7895" spans="1:4" hidden="1" x14ac:dyDescent="0.25">
      <c r="A7895" t="s">
        <v>682</v>
      </c>
      <c r="B7895" t="s">
        <v>38</v>
      </c>
      <c r="C7895" s="2">
        <f>HYPERLINK("https://sao.dolgi.msk.ru/account/1404271151/", 1404271151)</f>
        <v>1404271151</v>
      </c>
      <c r="D7895">
        <v>-4399.3100000000004</v>
      </c>
    </row>
    <row r="7896" spans="1:4" x14ac:dyDescent="0.25">
      <c r="A7896" t="s">
        <v>682</v>
      </c>
      <c r="B7896" t="s">
        <v>39</v>
      </c>
      <c r="C7896" s="2">
        <f>HYPERLINK("https://sao.dolgi.msk.ru/account/1404271178/", 1404271178)</f>
        <v>1404271178</v>
      </c>
      <c r="D7896">
        <v>13382.51</v>
      </c>
    </row>
    <row r="7897" spans="1:4" hidden="1" x14ac:dyDescent="0.25">
      <c r="A7897" t="s">
        <v>682</v>
      </c>
      <c r="B7897" t="s">
        <v>40</v>
      </c>
      <c r="C7897" s="2">
        <f>HYPERLINK("https://sao.dolgi.msk.ru/account/1404270669/", 1404270669)</f>
        <v>1404270669</v>
      </c>
      <c r="D7897">
        <v>-4723.1400000000003</v>
      </c>
    </row>
    <row r="7898" spans="1:4" hidden="1" x14ac:dyDescent="0.25">
      <c r="A7898" t="s">
        <v>682</v>
      </c>
      <c r="B7898" t="s">
        <v>41</v>
      </c>
      <c r="C7898" s="2">
        <f>HYPERLINK("https://sao.dolgi.msk.ru/account/1404268796/", 1404268796)</f>
        <v>1404268796</v>
      </c>
      <c r="D7898">
        <v>0</v>
      </c>
    </row>
    <row r="7899" spans="1:4" hidden="1" x14ac:dyDescent="0.25">
      <c r="A7899" t="s">
        <v>682</v>
      </c>
      <c r="B7899" t="s">
        <v>42</v>
      </c>
      <c r="C7899" s="2">
        <f>HYPERLINK("https://sao.dolgi.msk.ru/account/1404270183/", 1404270183)</f>
        <v>1404270183</v>
      </c>
      <c r="D7899">
        <v>-2708.34</v>
      </c>
    </row>
    <row r="7900" spans="1:4" x14ac:dyDescent="0.25">
      <c r="A7900" t="s">
        <v>682</v>
      </c>
      <c r="B7900" t="s">
        <v>43</v>
      </c>
      <c r="C7900" s="2">
        <f>HYPERLINK("https://sao.dolgi.msk.ru/account/1404269246/", 1404269246)</f>
        <v>1404269246</v>
      </c>
      <c r="D7900">
        <v>8223.5400000000009</v>
      </c>
    </row>
    <row r="7901" spans="1:4" hidden="1" x14ac:dyDescent="0.25">
      <c r="A7901" t="s">
        <v>682</v>
      </c>
      <c r="B7901" t="s">
        <v>44</v>
      </c>
      <c r="C7901" s="2">
        <f>HYPERLINK("https://sao.dolgi.msk.ru/account/1404268032/", 1404268032)</f>
        <v>1404268032</v>
      </c>
      <c r="D7901">
        <v>-8898.81</v>
      </c>
    </row>
    <row r="7902" spans="1:4" hidden="1" x14ac:dyDescent="0.25">
      <c r="A7902" t="s">
        <v>682</v>
      </c>
      <c r="B7902" t="s">
        <v>45</v>
      </c>
      <c r="C7902" s="2">
        <f>HYPERLINK("https://sao.dolgi.msk.ru/account/1404268366/", 1404268366)</f>
        <v>1404268366</v>
      </c>
      <c r="D7902">
        <v>-1132.21</v>
      </c>
    </row>
    <row r="7903" spans="1:4" hidden="1" x14ac:dyDescent="0.25">
      <c r="A7903" t="s">
        <v>682</v>
      </c>
      <c r="B7903" t="s">
        <v>46</v>
      </c>
      <c r="C7903" s="2">
        <f>HYPERLINK("https://sao.dolgi.msk.ru/account/1404271143/", 1404271143)</f>
        <v>1404271143</v>
      </c>
      <c r="D7903">
        <v>-7134.99</v>
      </c>
    </row>
    <row r="7904" spans="1:4" hidden="1" x14ac:dyDescent="0.25">
      <c r="A7904" t="s">
        <v>682</v>
      </c>
      <c r="B7904" t="s">
        <v>47</v>
      </c>
      <c r="C7904" s="2">
        <f>HYPERLINK("https://sao.dolgi.msk.ru/account/1404270159/", 1404270159)</f>
        <v>1404270159</v>
      </c>
      <c r="D7904">
        <v>-6716.9</v>
      </c>
    </row>
    <row r="7905" spans="1:4" hidden="1" x14ac:dyDescent="0.25">
      <c r="A7905" t="s">
        <v>682</v>
      </c>
      <c r="B7905" t="s">
        <v>48</v>
      </c>
      <c r="C7905" s="2">
        <f>HYPERLINK("https://sao.dolgi.msk.ru/account/1404268737/", 1404268737)</f>
        <v>1404268737</v>
      </c>
      <c r="D7905">
        <v>-8190.86</v>
      </c>
    </row>
    <row r="7906" spans="1:4" hidden="1" x14ac:dyDescent="0.25">
      <c r="A7906" t="s">
        <v>682</v>
      </c>
      <c r="B7906" t="s">
        <v>49</v>
      </c>
      <c r="C7906" s="2">
        <f>HYPERLINK("https://sao.dolgi.msk.ru/account/1404268374/", 1404268374)</f>
        <v>1404268374</v>
      </c>
      <c r="D7906">
        <v>-9457.0300000000007</v>
      </c>
    </row>
    <row r="7907" spans="1:4" hidden="1" x14ac:dyDescent="0.25">
      <c r="A7907" t="s">
        <v>682</v>
      </c>
      <c r="B7907" t="s">
        <v>50</v>
      </c>
      <c r="C7907" s="2">
        <f>HYPERLINK("https://sao.dolgi.msk.ru/account/1404268745/", 1404268745)</f>
        <v>1404268745</v>
      </c>
      <c r="D7907">
        <v>0</v>
      </c>
    </row>
    <row r="7908" spans="1:4" hidden="1" x14ac:dyDescent="0.25">
      <c r="A7908" t="s">
        <v>682</v>
      </c>
      <c r="B7908" t="s">
        <v>51</v>
      </c>
      <c r="C7908" s="2">
        <f>HYPERLINK("https://sao.dolgi.msk.ru/account/1404268008/", 1404268008)</f>
        <v>1404268008</v>
      </c>
      <c r="D7908">
        <v>-2786.89</v>
      </c>
    </row>
    <row r="7909" spans="1:4" hidden="1" x14ac:dyDescent="0.25">
      <c r="A7909" t="s">
        <v>682</v>
      </c>
      <c r="B7909" t="s">
        <v>52</v>
      </c>
      <c r="C7909" s="2">
        <f>HYPERLINK("https://sao.dolgi.msk.ru/account/1404268753/", 1404268753)</f>
        <v>1404268753</v>
      </c>
      <c r="D7909">
        <v>0</v>
      </c>
    </row>
    <row r="7910" spans="1:4" hidden="1" x14ac:dyDescent="0.25">
      <c r="A7910" t="s">
        <v>682</v>
      </c>
      <c r="B7910" t="s">
        <v>53</v>
      </c>
      <c r="C7910" s="2">
        <f>HYPERLINK("https://sao.dolgi.msk.ru/account/1404270167/", 1404270167)</f>
        <v>1404270167</v>
      </c>
      <c r="D7910">
        <v>-3781.49</v>
      </c>
    </row>
    <row r="7911" spans="1:4" x14ac:dyDescent="0.25">
      <c r="A7911" t="s">
        <v>682</v>
      </c>
      <c r="B7911" t="s">
        <v>54</v>
      </c>
      <c r="C7911" s="2">
        <f>HYPERLINK("https://sao.dolgi.msk.ru/account/1404268016/", 1404268016)</f>
        <v>1404268016</v>
      </c>
      <c r="D7911">
        <v>14327.01</v>
      </c>
    </row>
    <row r="7912" spans="1:4" x14ac:dyDescent="0.25">
      <c r="A7912" t="s">
        <v>682</v>
      </c>
      <c r="B7912" t="s">
        <v>55</v>
      </c>
      <c r="C7912" s="2">
        <f>HYPERLINK("https://sao.dolgi.msk.ru/account/1404270642/", 1404270642)</f>
        <v>1404270642</v>
      </c>
      <c r="D7912">
        <v>21229.33</v>
      </c>
    </row>
    <row r="7913" spans="1:4" hidden="1" x14ac:dyDescent="0.25">
      <c r="A7913" t="s">
        <v>682</v>
      </c>
      <c r="B7913" t="s">
        <v>56</v>
      </c>
      <c r="C7913" s="2">
        <f>HYPERLINK("https://sao.dolgi.msk.ru/account/1404269238/", 1404269238)</f>
        <v>1404269238</v>
      </c>
      <c r="D7913">
        <v>0</v>
      </c>
    </row>
    <row r="7914" spans="1:4" hidden="1" x14ac:dyDescent="0.25">
      <c r="A7914" t="s">
        <v>682</v>
      </c>
      <c r="B7914" t="s">
        <v>57</v>
      </c>
      <c r="C7914" s="2">
        <f>HYPERLINK("https://sao.dolgi.msk.ru/account/1404269916/", 1404269916)</f>
        <v>1404269916</v>
      </c>
      <c r="D7914">
        <v>-4798.72</v>
      </c>
    </row>
    <row r="7915" spans="1:4" hidden="1" x14ac:dyDescent="0.25">
      <c r="A7915" t="s">
        <v>682</v>
      </c>
      <c r="B7915" t="s">
        <v>58</v>
      </c>
      <c r="C7915" s="2">
        <f>HYPERLINK("https://sao.dolgi.msk.ru/account/1404269924/", 1404269924)</f>
        <v>1404269924</v>
      </c>
      <c r="D7915">
        <v>-2742.25</v>
      </c>
    </row>
    <row r="7916" spans="1:4" hidden="1" x14ac:dyDescent="0.25">
      <c r="A7916" t="s">
        <v>682</v>
      </c>
      <c r="B7916" t="s">
        <v>59</v>
      </c>
      <c r="C7916" s="2">
        <f>HYPERLINK("https://sao.dolgi.msk.ru/account/1404270431/", 1404270431)</f>
        <v>1404270431</v>
      </c>
      <c r="D7916">
        <v>-3935.42</v>
      </c>
    </row>
    <row r="7917" spans="1:4" hidden="1" x14ac:dyDescent="0.25">
      <c r="A7917" t="s">
        <v>682</v>
      </c>
      <c r="B7917" t="s">
        <v>60</v>
      </c>
      <c r="C7917" s="2">
        <f>HYPERLINK("https://sao.dolgi.msk.ru/account/1404268569/", 1404268569)</f>
        <v>1404268569</v>
      </c>
      <c r="D7917">
        <v>0</v>
      </c>
    </row>
    <row r="7918" spans="1:4" x14ac:dyDescent="0.25">
      <c r="A7918" t="s">
        <v>682</v>
      </c>
      <c r="B7918" t="s">
        <v>61</v>
      </c>
      <c r="C7918" s="2">
        <f>HYPERLINK("https://sao.dolgi.msk.ru/account/1404268147/", 1404268147)</f>
        <v>1404268147</v>
      </c>
      <c r="D7918">
        <v>11001.51</v>
      </c>
    </row>
    <row r="7919" spans="1:4" hidden="1" x14ac:dyDescent="0.25">
      <c r="A7919" t="s">
        <v>682</v>
      </c>
      <c r="B7919" t="s">
        <v>62</v>
      </c>
      <c r="C7919" s="2">
        <f>HYPERLINK("https://sao.dolgi.msk.ru/account/1404269537/", 1404269537)</f>
        <v>1404269537</v>
      </c>
      <c r="D7919">
        <v>0</v>
      </c>
    </row>
    <row r="7920" spans="1:4" hidden="1" x14ac:dyDescent="0.25">
      <c r="A7920" t="s">
        <v>682</v>
      </c>
      <c r="B7920" t="s">
        <v>63</v>
      </c>
      <c r="C7920" s="2">
        <f>HYPERLINK("https://sao.dolgi.msk.ru/account/1404268577/", 1404268577)</f>
        <v>1404268577</v>
      </c>
      <c r="D7920">
        <v>-9287.25</v>
      </c>
    </row>
    <row r="7921" spans="1:4" x14ac:dyDescent="0.25">
      <c r="A7921" t="s">
        <v>682</v>
      </c>
      <c r="B7921" t="s">
        <v>64</v>
      </c>
      <c r="C7921" s="2">
        <f>HYPERLINK("https://sao.dolgi.msk.ru/account/1404269932/", 1404269932)</f>
        <v>1404269932</v>
      </c>
      <c r="D7921">
        <v>16143.69</v>
      </c>
    </row>
    <row r="7922" spans="1:4" hidden="1" x14ac:dyDescent="0.25">
      <c r="A7922" t="s">
        <v>682</v>
      </c>
      <c r="B7922" t="s">
        <v>65</v>
      </c>
      <c r="C7922" s="2">
        <f>HYPERLINK("https://sao.dolgi.msk.ru/account/1404270458/", 1404270458)</f>
        <v>1404270458</v>
      </c>
      <c r="D7922">
        <v>-3981.2</v>
      </c>
    </row>
    <row r="7923" spans="1:4" hidden="1" x14ac:dyDescent="0.25">
      <c r="A7923" t="s">
        <v>682</v>
      </c>
      <c r="B7923" t="s">
        <v>66</v>
      </c>
      <c r="C7923" s="2">
        <f>HYPERLINK("https://sao.dolgi.msk.ru/account/1404269959/", 1404269959)</f>
        <v>1404269959</v>
      </c>
      <c r="D7923">
        <v>-4428.29</v>
      </c>
    </row>
    <row r="7924" spans="1:4" hidden="1" x14ac:dyDescent="0.25">
      <c r="A7924" t="s">
        <v>682</v>
      </c>
      <c r="B7924" t="s">
        <v>67</v>
      </c>
      <c r="C7924" s="2">
        <f>HYPERLINK("https://sao.dolgi.msk.ru/account/1404269545/", 1404269545)</f>
        <v>1404269545</v>
      </c>
      <c r="D7924">
        <v>0</v>
      </c>
    </row>
    <row r="7925" spans="1:4" hidden="1" x14ac:dyDescent="0.25">
      <c r="A7925" t="s">
        <v>682</v>
      </c>
      <c r="B7925" t="s">
        <v>68</v>
      </c>
      <c r="C7925" s="2">
        <f>HYPERLINK("https://sao.dolgi.msk.ru/account/1404268585/", 1404268585)</f>
        <v>1404268585</v>
      </c>
      <c r="D7925">
        <v>0</v>
      </c>
    </row>
    <row r="7926" spans="1:4" hidden="1" x14ac:dyDescent="0.25">
      <c r="A7926" t="s">
        <v>682</v>
      </c>
      <c r="B7926" t="s">
        <v>69</v>
      </c>
      <c r="C7926" s="2">
        <f>HYPERLINK("https://sao.dolgi.msk.ru/account/1404270466/", 1404270466)</f>
        <v>1404270466</v>
      </c>
      <c r="D7926">
        <v>-4092.12</v>
      </c>
    </row>
    <row r="7927" spans="1:4" hidden="1" x14ac:dyDescent="0.25">
      <c r="A7927" t="s">
        <v>682</v>
      </c>
      <c r="B7927" t="s">
        <v>70</v>
      </c>
      <c r="C7927" s="2">
        <f>HYPERLINK("https://sao.dolgi.msk.ru/account/1404268892/", 1404268892)</f>
        <v>1404268892</v>
      </c>
      <c r="D7927">
        <v>-1668.59</v>
      </c>
    </row>
    <row r="7928" spans="1:4" hidden="1" x14ac:dyDescent="0.25">
      <c r="A7928" t="s">
        <v>682</v>
      </c>
      <c r="B7928" t="s">
        <v>70</v>
      </c>
      <c r="C7928" s="2">
        <f>HYPERLINK("https://sao.dolgi.msk.ru/account/1404271362/", 1404271362)</f>
        <v>1404271362</v>
      </c>
      <c r="D7928">
        <v>-1422.35</v>
      </c>
    </row>
    <row r="7929" spans="1:4" hidden="1" x14ac:dyDescent="0.25">
      <c r="A7929" t="s">
        <v>682</v>
      </c>
      <c r="B7929" t="s">
        <v>72</v>
      </c>
      <c r="C7929" s="2">
        <f>HYPERLINK("https://sao.dolgi.msk.ru/account/1404269983/", 1404269983)</f>
        <v>1404269983</v>
      </c>
      <c r="D7929">
        <v>-3.92</v>
      </c>
    </row>
    <row r="7930" spans="1:4" x14ac:dyDescent="0.25">
      <c r="A7930" t="s">
        <v>682</v>
      </c>
      <c r="B7930" t="s">
        <v>73</v>
      </c>
      <c r="C7930" s="2">
        <f>HYPERLINK("https://sao.dolgi.msk.ru/account/1404268606/", 1404268606)</f>
        <v>1404268606</v>
      </c>
      <c r="D7930">
        <v>4133.8500000000004</v>
      </c>
    </row>
    <row r="7931" spans="1:4" hidden="1" x14ac:dyDescent="0.25">
      <c r="A7931" t="s">
        <v>682</v>
      </c>
      <c r="B7931" t="s">
        <v>74</v>
      </c>
      <c r="C7931" s="2">
        <f>HYPERLINK("https://sao.dolgi.msk.ru/account/1404269561/", 1404269561)</f>
        <v>1404269561</v>
      </c>
      <c r="D7931">
        <v>0</v>
      </c>
    </row>
    <row r="7932" spans="1:4" hidden="1" x14ac:dyDescent="0.25">
      <c r="A7932" t="s">
        <v>682</v>
      </c>
      <c r="B7932" t="s">
        <v>75</v>
      </c>
      <c r="C7932" s="2">
        <f>HYPERLINK("https://sao.dolgi.msk.ru/account/1404269991/", 1404269991)</f>
        <v>1404269991</v>
      </c>
      <c r="D7932">
        <v>-4854.9799999999996</v>
      </c>
    </row>
    <row r="7933" spans="1:4" x14ac:dyDescent="0.25">
      <c r="A7933" t="s">
        <v>682</v>
      </c>
      <c r="B7933" t="s">
        <v>76</v>
      </c>
      <c r="C7933" s="2">
        <f>HYPERLINK("https://sao.dolgi.msk.ru/account/1404269895/", 1404269895)</f>
        <v>1404269895</v>
      </c>
      <c r="D7933">
        <v>429.03</v>
      </c>
    </row>
    <row r="7934" spans="1:4" hidden="1" x14ac:dyDescent="0.25">
      <c r="A7934" t="s">
        <v>682</v>
      </c>
      <c r="B7934" t="s">
        <v>77</v>
      </c>
      <c r="C7934" s="2">
        <f>HYPERLINK("https://sao.dolgi.msk.ru/account/1404270474/", 1404270474)</f>
        <v>1404270474</v>
      </c>
      <c r="D7934">
        <v>-7246.1</v>
      </c>
    </row>
    <row r="7935" spans="1:4" hidden="1" x14ac:dyDescent="0.25">
      <c r="A7935" t="s">
        <v>682</v>
      </c>
      <c r="B7935" t="s">
        <v>78</v>
      </c>
      <c r="C7935" s="2">
        <f>HYPERLINK("https://sao.dolgi.msk.ru/account/1404269588/", 1404269588)</f>
        <v>1404269588</v>
      </c>
      <c r="D7935">
        <v>-2008.39</v>
      </c>
    </row>
    <row r="7936" spans="1:4" hidden="1" x14ac:dyDescent="0.25">
      <c r="A7936" t="s">
        <v>682</v>
      </c>
      <c r="B7936" t="s">
        <v>79</v>
      </c>
      <c r="C7936" s="2">
        <f>HYPERLINK("https://sao.dolgi.msk.ru/account/1404270001/", 1404270001)</f>
        <v>1404270001</v>
      </c>
      <c r="D7936">
        <v>-5767.4</v>
      </c>
    </row>
    <row r="7937" spans="1:4" hidden="1" x14ac:dyDescent="0.25">
      <c r="A7937" t="s">
        <v>682</v>
      </c>
      <c r="B7937" t="s">
        <v>80</v>
      </c>
      <c r="C7937" s="2">
        <f>HYPERLINK("https://sao.dolgi.msk.ru/account/1404268198/", 1404268198)</f>
        <v>1404268198</v>
      </c>
      <c r="D7937">
        <v>0</v>
      </c>
    </row>
    <row r="7938" spans="1:4" hidden="1" x14ac:dyDescent="0.25">
      <c r="A7938" t="s">
        <v>682</v>
      </c>
      <c r="B7938" t="s">
        <v>81</v>
      </c>
      <c r="C7938" s="2">
        <f>HYPERLINK("https://sao.dolgi.msk.ru/account/1404271389/", 1404271389)</f>
        <v>1404271389</v>
      </c>
      <c r="D7938">
        <v>-6824.99</v>
      </c>
    </row>
    <row r="7939" spans="1:4" hidden="1" x14ac:dyDescent="0.25">
      <c r="A7939" t="s">
        <v>682</v>
      </c>
      <c r="B7939" t="s">
        <v>82</v>
      </c>
      <c r="C7939" s="2">
        <f>HYPERLINK("https://sao.dolgi.msk.ru/account/1404269035/", 1404269035)</f>
        <v>1404269035</v>
      </c>
      <c r="D7939">
        <v>-4868.37</v>
      </c>
    </row>
    <row r="7940" spans="1:4" hidden="1" x14ac:dyDescent="0.25">
      <c r="A7940" t="s">
        <v>682</v>
      </c>
      <c r="B7940" t="s">
        <v>83</v>
      </c>
      <c r="C7940" s="2">
        <f>HYPERLINK("https://sao.dolgi.msk.ru/account/1404270917/", 1404270917)</f>
        <v>1404270917</v>
      </c>
      <c r="D7940">
        <v>-5873.05</v>
      </c>
    </row>
    <row r="7941" spans="1:4" hidden="1" x14ac:dyDescent="0.25">
      <c r="A7941" t="s">
        <v>682</v>
      </c>
      <c r="B7941" t="s">
        <v>84</v>
      </c>
      <c r="C7941" s="2">
        <f>HYPERLINK("https://sao.dolgi.msk.ru/account/1404270482/", 1404270482)</f>
        <v>1404270482</v>
      </c>
      <c r="D7941">
        <v>-6755.15</v>
      </c>
    </row>
    <row r="7942" spans="1:4" hidden="1" x14ac:dyDescent="0.25">
      <c r="A7942" t="s">
        <v>682</v>
      </c>
      <c r="B7942" t="s">
        <v>85</v>
      </c>
      <c r="C7942" s="2">
        <f>HYPERLINK("https://sao.dolgi.msk.ru/account/1404270925/", 1404270925)</f>
        <v>1404270925</v>
      </c>
      <c r="D7942">
        <v>0</v>
      </c>
    </row>
    <row r="7943" spans="1:4" hidden="1" x14ac:dyDescent="0.25">
      <c r="A7943" t="s">
        <v>682</v>
      </c>
      <c r="B7943" t="s">
        <v>86</v>
      </c>
      <c r="C7943" s="2">
        <f>HYPERLINK("https://sao.dolgi.msk.ru/account/1404268219/", 1404268219)</f>
        <v>1404268219</v>
      </c>
      <c r="D7943">
        <v>-11848.72</v>
      </c>
    </row>
    <row r="7944" spans="1:4" x14ac:dyDescent="0.25">
      <c r="A7944" t="s">
        <v>682</v>
      </c>
      <c r="B7944" t="s">
        <v>87</v>
      </c>
      <c r="C7944" s="2">
        <f>HYPERLINK("https://sao.dolgi.msk.ru/account/1404268139/", 1404268139)</f>
        <v>1404268139</v>
      </c>
      <c r="D7944">
        <v>6395.24</v>
      </c>
    </row>
    <row r="7945" spans="1:4" hidden="1" x14ac:dyDescent="0.25">
      <c r="A7945" t="s">
        <v>682</v>
      </c>
      <c r="B7945" t="s">
        <v>88</v>
      </c>
      <c r="C7945" s="2">
        <f>HYPERLINK("https://sao.dolgi.msk.ru/account/1404269051/", 1404269051)</f>
        <v>1404269051</v>
      </c>
      <c r="D7945">
        <v>0</v>
      </c>
    </row>
    <row r="7946" spans="1:4" hidden="1" x14ac:dyDescent="0.25">
      <c r="A7946" t="s">
        <v>682</v>
      </c>
      <c r="B7946" t="s">
        <v>89</v>
      </c>
      <c r="C7946" s="2">
        <f>HYPERLINK("https://sao.dolgi.msk.ru/account/1404267945/", 1404267945)</f>
        <v>1404267945</v>
      </c>
      <c r="D7946">
        <v>-4502.68</v>
      </c>
    </row>
    <row r="7947" spans="1:4" x14ac:dyDescent="0.25">
      <c r="A7947" t="s">
        <v>682</v>
      </c>
      <c r="B7947" t="s">
        <v>90</v>
      </c>
      <c r="C7947" s="2">
        <f>HYPERLINK("https://sao.dolgi.msk.ru/account/1404269078/", 1404269078)</f>
        <v>1404269078</v>
      </c>
      <c r="D7947">
        <v>26878.48</v>
      </c>
    </row>
    <row r="7948" spans="1:4" hidden="1" x14ac:dyDescent="0.25">
      <c r="A7948" t="s">
        <v>682</v>
      </c>
      <c r="B7948" t="s">
        <v>91</v>
      </c>
      <c r="C7948" s="2">
        <f>HYPERLINK("https://sao.dolgi.msk.ru/account/1404268649/", 1404268649)</f>
        <v>1404268649</v>
      </c>
      <c r="D7948">
        <v>-2937.74</v>
      </c>
    </row>
    <row r="7949" spans="1:4" hidden="1" x14ac:dyDescent="0.25">
      <c r="A7949" t="s">
        <v>682</v>
      </c>
      <c r="B7949" t="s">
        <v>92</v>
      </c>
      <c r="C7949" s="2">
        <f>HYPERLINK("https://sao.dolgi.msk.ru/account/1404269086/", 1404269086)</f>
        <v>1404269086</v>
      </c>
      <c r="D7949">
        <v>-3990.93</v>
      </c>
    </row>
    <row r="7950" spans="1:4" hidden="1" x14ac:dyDescent="0.25">
      <c r="A7950" t="s">
        <v>682</v>
      </c>
      <c r="B7950" t="s">
        <v>93</v>
      </c>
      <c r="C7950" s="2">
        <f>HYPERLINK("https://sao.dolgi.msk.ru/account/1404269609/", 1404269609)</f>
        <v>1404269609</v>
      </c>
      <c r="D7950">
        <v>-5685.37</v>
      </c>
    </row>
    <row r="7951" spans="1:4" x14ac:dyDescent="0.25">
      <c r="A7951" t="s">
        <v>682</v>
      </c>
      <c r="B7951" t="s">
        <v>94</v>
      </c>
      <c r="C7951" s="2">
        <f>HYPERLINK("https://sao.dolgi.msk.ru/account/1404269094/", 1404269094)</f>
        <v>1404269094</v>
      </c>
      <c r="D7951">
        <v>737.15</v>
      </c>
    </row>
    <row r="7952" spans="1:4" hidden="1" x14ac:dyDescent="0.25">
      <c r="A7952" t="s">
        <v>682</v>
      </c>
      <c r="B7952" t="s">
        <v>95</v>
      </c>
      <c r="C7952" s="2">
        <f>HYPERLINK("https://sao.dolgi.msk.ru/account/1404270044/", 1404270044)</f>
        <v>1404270044</v>
      </c>
      <c r="D7952">
        <v>0</v>
      </c>
    </row>
    <row r="7953" spans="1:4" hidden="1" x14ac:dyDescent="0.25">
      <c r="A7953" t="s">
        <v>682</v>
      </c>
      <c r="B7953" t="s">
        <v>96</v>
      </c>
      <c r="C7953" s="2">
        <f>HYPERLINK("https://sao.dolgi.msk.ru/account/1404268657/", 1404268657)</f>
        <v>1404268657</v>
      </c>
      <c r="D7953">
        <v>-4183.47</v>
      </c>
    </row>
    <row r="7954" spans="1:4" hidden="1" x14ac:dyDescent="0.25">
      <c r="A7954" t="s">
        <v>682</v>
      </c>
      <c r="B7954" t="s">
        <v>97</v>
      </c>
      <c r="C7954" s="2">
        <f>HYPERLINK("https://sao.dolgi.msk.ru/account/1404270052/", 1404270052)</f>
        <v>1404270052</v>
      </c>
      <c r="D7954">
        <v>-4675.07</v>
      </c>
    </row>
    <row r="7955" spans="1:4" hidden="1" x14ac:dyDescent="0.25">
      <c r="A7955" t="s">
        <v>682</v>
      </c>
      <c r="B7955" t="s">
        <v>98</v>
      </c>
      <c r="C7955" s="2">
        <f>HYPERLINK("https://sao.dolgi.msk.ru/account/1404270968/", 1404270968)</f>
        <v>1404270968</v>
      </c>
      <c r="D7955">
        <v>0</v>
      </c>
    </row>
    <row r="7956" spans="1:4" hidden="1" x14ac:dyDescent="0.25">
      <c r="A7956" t="s">
        <v>682</v>
      </c>
      <c r="B7956" t="s">
        <v>99</v>
      </c>
      <c r="C7956" s="2">
        <f>HYPERLINK("https://sao.dolgi.msk.ru/account/1404268665/", 1404268665)</f>
        <v>1404268665</v>
      </c>
      <c r="D7956">
        <v>0</v>
      </c>
    </row>
    <row r="7957" spans="1:4" hidden="1" x14ac:dyDescent="0.25">
      <c r="A7957" t="s">
        <v>682</v>
      </c>
      <c r="B7957" t="s">
        <v>100</v>
      </c>
      <c r="C7957" s="2">
        <f>HYPERLINK("https://sao.dolgi.msk.ru/account/1404268673/", 1404268673)</f>
        <v>1404268673</v>
      </c>
      <c r="D7957">
        <v>-4952.41</v>
      </c>
    </row>
    <row r="7958" spans="1:4" hidden="1" x14ac:dyDescent="0.25">
      <c r="A7958" t="s">
        <v>682</v>
      </c>
      <c r="B7958" t="s">
        <v>101</v>
      </c>
      <c r="C7958" s="2">
        <f>HYPERLINK("https://sao.dolgi.msk.ru/account/1404271047/", 1404271047)</f>
        <v>1404271047</v>
      </c>
      <c r="D7958">
        <v>0</v>
      </c>
    </row>
    <row r="7959" spans="1:4" x14ac:dyDescent="0.25">
      <c r="A7959" t="s">
        <v>682</v>
      </c>
      <c r="B7959" t="s">
        <v>102</v>
      </c>
      <c r="C7959" s="2">
        <f>HYPERLINK("https://sao.dolgi.msk.ru/account/1404268243/", 1404268243)</f>
        <v>1404268243</v>
      </c>
      <c r="D7959">
        <v>39428.36</v>
      </c>
    </row>
    <row r="7960" spans="1:4" x14ac:dyDescent="0.25">
      <c r="A7960" t="s">
        <v>682</v>
      </c>
      <c r="B7960" t="s">
        <v>103</v>
      </c>
      <c r="C7960" s="2">
        <f>HYPERLINK("https://sao.dolgi.msk.ru/account/1404270976/", 1404270976)</f>
        <v>1404270976</v>
      </c>
      <c r="D7960">
        <v>688.5</v>
      </c>
    </row>
    <row r="7961" spans="1:4" hidden="1" x14ac:dyDescent="0.25">
      <c r="A7961" t="s">
        <v>682</v>
      </c>
      <c r="B7961" t="s">
        <v>104</v>
      </c>
      <c r="C7961" s="2">
        <f>HYPERLINK("https://sao.dolgi.msk.ru/account/1404268227/", 1404268227)</f>
        <v>1404268227</v>
      </c>
      <c r="D7961">
        <v>-6189.38</v>
      </c>
    </row>
    <row r="7962" spans="1:4" hidden="1" x14ac:dyDescent="0.25">
      <c r="A7962" t="s">
        <v>682</v>
      </c>
      <c r="B7962" t="s">
        <v>105</v>
      </c>
      <c r="C7962" s="2">
        <f>HYPERLINK("https://sao.dolgi.msk.ru/account/1404271418/", 1404271418)</f>
        <v>1404271418</v>
      </c>
      <c r="D7962">
        <v>-5253.99</v>
      </c>
    </row>
    <row r="7963" spans="1:4" hidden="1" x14ac:dyDescent="0.25">
      <c r="A7963" t="s">
        <v>682</v>
      </c>
      <c r="B7963" t="s">
        <v>106</v>
      </c>
      <c r="C7963" s="2">
        <f>HYPERLINK("https://sao.dolgi.msk.ru/account/1404271426/", 1404271426)</f>
        <v>1404271426</v>
      </c>
      <c r="D7963">
        <v>-595.49</v>
      </c>
    </row>
    <row r="7964" spans="1:4" hidden="1" x14ac:dyDescent="0.25">
      <c r="A7964" t="s">
        <v>682</v>
      </c>
      <c r="B7964" t="s">
        <v>107</v>
      </c>
      <c r="C7964" s="2">
        <f>HYPERLINK("https://sao.dolgi.msk.ru/account/1404270028/", 1404270028)</f>
        <v>1404270028</v>
      </c>
      <c r="D7964">
        <v>0</v>
      </c>
    </row>
    <row r="7965" spans="1:4" hidden="1" x14ac:dyDescent="0.25">
      <c r="A7965" t="s">
        <v>682</v>
      </c>
      <c r="B7965" t="s">
        <v>108</v>
      </c>
      <c r="C7965" s="2">
        <f>HYPERLINK("https://sao.dolgi.msk.ru/account/1404270888/", 1404270888)</f>
        <v>1404270888</v>
      </c>
      <c r="D7965">
        <v>0</v>
      </c>
    </row>
    <row r="7966" spans="1:4" hidden="1" x14ac:dyDescent="0.25">
      <c r="A7966" t="s">
        <v>682</v>
      </c>
      <c r="B7966" t="s">
        <v>109</v>
      </c>
      <c r="C7966" s="2">
        <f>HYPERLINK("https://sao.dolgi.msk.ru/account/1404268542/", 1404268542)</f>
        <v>1404268542</v>
      </c>
      <c r="D7966">
        <v>0</v>
      </c>
    </row>
    <row r="7967" spans="1:4" hidden="1" x14ac:dyDescent="0.25">
      <c r="A7967" t="s">
        <v>682</v>
      </c>
      <c r="B7967" t="s">
        <v>110</v>
      </c>
      <c r="C7967" s="2">
        <f>HYPERLINK("https://sao.dolgi.msk.ru/account/1404270423/", 1404270423)</f>
        <v>1404270423</v>
      </c>
      <c r="D7967">
        <v>-6356.17</v>
      </c>
    </row>
    <row r="7968" spans="1:4" hidden="1" x14ac:dyDescent="0.25">
      <c r="A7968" t="s">
        <v>682</v>
      </c>
      <c r="B7968" t="s">
        <v>111</v>
      </c>
      <c r="C7968" s="2">
        <f>HYPERLINK("https://sao.dolgi.msk.ru/account/1404271311/", 1404271311)</f>
        <v>1404271311</v>
      </c>
      <c r="D7968">
        <v>0</v>
      </c>
    </row>
    <row r="7969" spans="1:4" hidden="1" x14ac:dyDescent="0.25">
      <c r="A7969" t="s">
        <v>682</v>
      </c>
      <c r="B7969" t="s">
        <v>112</v>
      </c>
      <c r="C7969" s="2">
        <f>HYPERLINK("https://sao.dolgi.msk.ru/account/1404268622/", 1404268622)</f>
        <v>1404268622</v>
      </c>
      <c r="D7969">
        <v>0</v>
      </c>
    </row>
    <row r="7970" spans="1:4" hidden="1" x14ac:dyDescent="0.25">
      <c r="A7970" t="s">
        <v>682</v>
      </c>
      <c r="B7970" t="s">
        <v>113</v>
      </c>
      <c r="C7970" s="2">
        <f>HYPERLINK("https://sao.dolgi.msk.ru/account/1404270933/", 1404270933)</f>
        <v>1404270933</v>
      </c>
      <c r="D7970">
        <v>0</v>
      </c>
    </row>
    <row r="7971" spans="1:4" hidden="1" x14ac:dyDescent="0.25">
      <c r="A7971" t="s">
        <v>682</v>
      </c>
      <c r="B7971" t="s">
        <v>114</v>
      </c>
      <c r="C7971" s="2">
        <f>HYPERLINK("https://sao.dolgi.msk.ru/account/1404267937/", 1404267937)</f>
        <v>1404267937</v>
      </c>
      <c r="D7971">
        <v>0</v>
      </c>
    </row>
    <row r="7972" spans="1:4" hidden="1" x14ac:dyDescent="0.25">
      <c r="A7972" t="s">
        <v>682</v>
      </c>
      <c r="B7972" t="s">
        <v>115</v>
      </c>
      <c r="C7972" s="2">
        <f>HYPERLINK("https://sao.dolgi.msk.ru/account/1404270941/", 1404270941)</f>
        <v>1404270941</v>
      </c>
      <c r="D7972">
        <v>-6556.82</v>
      </c>
    </row>
    <row r="7973" spans="1:4" hidden="1" x14ac:dyDescent="0.25">
      <c r="A7973" t="s">
        <v>682</v>
      </c>
      <c r="B7973" t="s">
        <v>116</v>
      </c>
      <c r="C7973" s="2">
        <f>HYPERLINK("https://sao.dolgi.msk.ru/account/1404269043/", 1404269043)</f>
        <v>1404269043</v>
      </c>
      <c r="D7973">
        <v>-6178.94</v>
      </c>
    </row>
    <row r="7974" spans="1:4" x14ac:dyDescent="0.25">
      <c r="A7974" t="s">
        <v>682</v>
      </c>
      <c r="B7974" t="s">
        <v>117</v>
      </c>
      <c r="C7974" s="2">
        <f>HYPERLINK("https://sao.dolgi.msk.ru/account/1404268235/", 1404268235)</f>
        <v>1404268235</v>
      </c>
      <c r="D7974">
        <v>43592.25</v>
      </c>
    </row>
    <row r="7975" spans="1:4" hidden="1" x14ac:dyDescent="0.25">
      <c r="A7975" t="s">
        <v>682</v>
      </c>
      <c r="B7975" t="s">
        <v>118</v>
      </c>
      <c r="C7975" s="2">
        <f>HYPERLINK("https://sao.dolgi.msk.ru/account/1404270685/", 1404270685)</f>
        <v>1404270685</v>
      </c>
      <c r="D7975">
        <v>-3641.36</v>
      </c>
    </row>
    <row r="7976" spans="1:4" hidden="1" x14ac:dyDescent="0.25">
      <c r="A7976" t="s">
        <v>682</v>
      </c>
      <c r="B7976" t="s">
        <v>119</v>
      </c>
      <c r="C7976" s="2">
        <f>HYPERLINK("https://sao.dolgi.msk.ru/account/1404271186/", 1404271186)</f>
        <v>1404271186</v>
      </c>
      <c r="D7976">
        <v>-5972.29</v>
      </c>
    </row>
    <row r="7977" spans="1:4" hidden="1" x14ac:dyDescent="0.25">
      <c r="A7977" t="s">
        <v>682</v>
      </c>
      <c r="B7977" t="s">
        <v>120</v>
      </c>
      <c r="C7977" s="2">
        <f>HYPERLINK("https://sao.dolgi.msk.ru/account/1404268809/", 1404268809)</f>
        <v>1404268809</v>
      </c>
      <c r="D7977">
        <v>-14089.4</v>
      </c>
    </row>
    <row r="7978" spans="1:4" x14ac:dyDescent="0.25">
      <c r="A7978" t="s">
        <v>682</v>
      </c>
      <c r="B7978" t="s">
        <v>121</v>
      </c>
      <c r="C7978" s="2">
        <f>HYPERLINK("https://sao.dolgi.msk.ru/account/1404268817/", 1404268817)</f>
        <v>1404268817</v>
      </c>
      <c r="D7978">
        <v>12242.56</v>
      </c>
    </row>
    <row r="7979" spans="1:4" hidden="1" x14ac:dyDescent="0.25">
      <c r="A7979" t="s">
        <v>682</v>
      </c>
      <c r="B7979" t="s">
        <v>122</v>
      </c>
      <c r="C7979" s="2">
        <f>HYPERLINK("https://sao.dolgi.msk.ru/account/1404270191/", 1404270191)</f>
        <v>1404270191</v>
      </c>
      <c r="D7979">
        <v>-4710.12</v>
      </c>
    </row>
    <row r="7980" spans="1:4" hidden="1" x14ac:dyDescent="0.25">
      <c r="A7980" t="s">
        <v>682</v>
      </c>
      <c r="B7980" t="s">
        <v>123</v>
      </c>
      <c r="C7980" s="2">
        <f>HYPERLINK("https://sao.dolgi.msk.ru/account/1404268825/", 1404268825)</f>
        <v>1404268825</v>
      </c>
      <c r="D7980">
        <v>-3382.86</v>
      </c>
    </row>
    <row r="7981" spans="1:4" hidden="1" x14ac:dyDescent="0.25">
      <c r="A7981" t="s">
        <v>682</v>
      </c>
      <c r="B7981" t="s">
        <v>124</v>
      </c>
      <c r="C7981" s="2">
        <f>HYPERLINK("https://sao.dolgi.msk.ru/account/1404270749/", 1404270749)</f>
        <v>1404270749</v>
      </c>
      <c r="D7981">
        <v>0</v>
      </c>
    </row>
    <row r="7982" spans="1:4" hidden="1" x14ac:dyDescent="0.25">
      <c r="A7982" t="s">
        <v>682</v>
      </c>
      <c r="B7982" t="s">
        <v>125</v>
      </c>
      <c r="C7982" s="2">
        <f>HYPERLINK("https://sao.dolgi.msk.ru/account/1404271215/", 1404271215)</f>
        <v>1404271215</v>
      </c>
      <c r="D7982">
        <v>-7639.65</v>
      </c>
    </row>
    <row r="7983" spans="1:4" hidden="1" x14ac:dyDescent="0.25">
      <c r="A7983" t="s">
        <v>682</v>
      </c>
      <c r="B7983" t="s">
        <v>126</v>
      </c>
      <c r="C7983" s="2">
        <f>HYPERLINK("https://sao.dolgi.msk.ru/account/1404270757/", 1404270757)</f>
        <v>1404270757</v>
      </c>
      <c r="D7983">
        <v>0</v>
      </c>
    </row>
    <row r="7984" spans="1:4" hidden="1" x14ac:dyDescent="0.25">
      <c r="A7984" t="s">
        <v>682</v>
      </c>
      <c r="B7984" t="s">
        <v>127</v>
      </c>
      <c r="C7984" s="2">
        <f>HYPERLINK("https://sao.dolgi.msk.ru/account/1404268075/", 1404268075)</f>
        <v>1404268075</v>
      </c>
      <c r="D7984">
        <v>-5777.29</v>
      </c>
    </row>
    <row r="7985" spans="1:4" hidden="1" x14ac:dyDescent="0.25">
      <c r="A7985" t="s">
        <v>682</v>
      </c>
      <c r="B7985" t="s">
        <v>128</v>
      </c>
      <c r="C7985" s="2">
        <f>HYPERLINK("https://sao.dolgi.msk.ru/account/1404269342/", 1404269342)</f>
        <v>1404269342</v>
      </c>
      <c r="D7985">
        <v>-4229.33</v>
      </c>
    </row>
    <row r="7986" spans="1:4" x14ac:dyDescent="0.25">
      <c r="A7986" t="s">
        <v>682</v>
      </c>
      <c r="B7986" t="s">
        <v>129</v>
      </c>
      <c r="C7986" s="2">
        <f>HYPERLINK("https://sao.dolgi.msk.ru/account/1404271223/", 1404271223)</f>
        <v>1404271223</v>
      </c>
      <c r="D7986">
        <v>15150.25</v>
      </c>
    </row>
    <row r="7987" spans="1:4" hidden="1" x14ac:dyDescent="0.25">
      <c r="A7987" t="s">
        <v>682</v>
      </c>
      <c r="B7987" t="s">
        <v>130</v>
      </c>
      <c r="C7987" s="2">
        <f>HYPERLINK("https://sao.dolgi.msk.ru/account/1404268411/", 1404268411)</f>
        <v>1404268411</v>
      </c>
      <c r="D7987">
        <v>-4261.41</v>
      </c>
    </row>
    <row r="7988" spans="1:4" hidden="1" x14ac:dyDescent="0.25">
      <c r="A7988" t="s">
        <v>682</v>
      </c>
      <c r="B7988" t="s">
        <v>131</v>
      </c>
      <c r="C7988" s="2">
        <f>HYPERLINK("https://sao.dolgi.msk.ru/account/1404271231/", 1404271231)</f>
        <v>1404271231</v>
      </c>
      <c r="D7988">
        <v>-7369.12</v>
      </c>
    </row>
    <row r="7989" spans="1:4" hidden="1" x14ac:dyDescent="0.25">
      <c r="A7989" t="s">
        <v>682</v>
      </c>
      <c r="B7989" t="s">
        <v>132</v>
      </c>
      <c r="C7989" s="2">
        <f>HYPERLINK("https://sao.dolgi.msk.ru/account/1404268868/", 1404268868)</f>
        <v>1404268868</v>
      </c>
      <c r="D7989">
        <v>0</v>
      </c>
    </row>
    <row r="7990" spans="1:4" hidden="1" x14ac:dyDescent="0.25">
      <c r="A7990" t="s">
        <v>682</v>
      </c>
      <c r="B7990" t="s">
        <v>133</v>
      </c>
      <c r="C7990" s="2">
        <f>HYPERLINK("https://sao.dolgi.msk.ru/account/1404269369/", 1404269369)</f>
        <v>1404269369</v>
      </c>
      <c r="D7990">
        <v>-7177.01</v>
      </c>
    </row>
    <row r="7991" spans="1:4" x14ac:dyDescent="0.25">
      <c r="A7991" t="s">
        <v>682</v>
      </c>
      <c r="B7991" t="s">
        <v>134</v>
      </c>
      <c r="C7991" s="2">
        <f>HYPERLINK("https://sao.dolgi.msk.ru/account/1404269385/", 1404269385)</f>
        <v>1404269385</v>
      </c>
      <c r="D7991">
        <v>21320.35</v>
      </c>
    </row>
    <row r="7992" spans="1:4" x14ac:dyDescent="0.25">
      <c r="A7992" t="s">
        <v>682</v>
      </c>
      <c r="B7992" t="s">
        <v>135</v>
      </c>
      <c r="C7992" s="2">
        <f>HYPERLINK("https://sao.dolgi.msk.ru/account/1404270765/", 1404270765)</f>
        <v>1404270765</v>
      </c>
      <c r="D7992">
        <v>3590.75</v>
      </c>
    </row>
    <row r="7993" spans="1:4" hidden="1" x14ac:dyDescent="0.25">
      <c r="A7993" t="s">
        <v>682</v>
      </c>
      <c r="B7993" t="s">
        <v>136</v>
      </c>
      <c r="C7993" s="2">
        <f>HYPERLINK("https://sao.dolgi.msk.ru/account/1404270247/", 1404270247)</f>
        <v>1404270247</v>
      </c>
      <c r="D7993">
        <v>0</v>
      </c>
    </row>
    <row r="7994" spans="1:4" hidden="1" x14ac:dyDescent="0.25">
      <c r="A7994" t="s">
        <v>682</v>
      </c>
      <c r="B7994" t="s">
        <v>136</v>
      </c>
      <c r="C7994" s="2">
        <f>HYPERLINK("https://sao.dolgi.msk.ru/account/1404270538/", 1404270538)</f>
        <v>1404270538</v>
      </c>
      <c r="D7994">
        <v>0</v>
      </c>
    </row>
    <row r="7995" spans="1:4" hidden="1" x14ac:dyDescent="0.25">
      <c r="A7995" t="s">
        <v>682</v>
      </c>
      <c r="B7995" t="s">
        <v>137</v>
      </c>
      <c r="C7995" s="2">
        <f>HYPERLINK("https://sao.dolgi.msk.ru/account/1404269393/", 1404269393)</f>
        <v>1404269393</v>
      </c>
      <c r="D7995">
        <v>-4332.66</v>
      </c>
    </row>
    <row r="7996" spans="1:4" x14ac:dyDescent="0.25">
      <c r="A7996" t="s">
        <v>682</v>
      </c>
      <c r="B7996" t="s">
        <v>138</v>
      </c>
      <c r="C7996" s="2">
        <f>HYPERLINK("https://sao.dolgi.msk.ru/account/1404269406/", 1404269406)</f>
        <v>1404269406</v>
      </c>
      <c r="D7996">
        <v>10535.75</v>
      </c>
    </row>
    <row r="7997" spans="1:4" hidden="1" x14ac:dyDescent="0.25">
      <c r="A7997" t="s">
        <v>682</v>
      </c>
      <c r="B7997" t="s">
        <v>139</v>
      </c>
      <c r="C7997" s="2">
        <f>HYPERLINK("https://sao.dolgi.msk.ru/account/1404271258/", 1404271258)</f>
        <v>1404271258</v>
      </c>
      <c r="D7997">
        <v>-5660.79</v>
      </c>
    </row>
    <row r="7998" spans="1:4" hidden="1" x14ac:dyDescent="0.25">
      <c r="A7998" t="s">
        <v>682</v>
      </c>
      <c r="B7998" t="s">
        <v>140</v>
      </c>
      <c r="C7998" s="2">
        <f>HYPERLINK("https://sao.dolgi.msk.ru/account/1404270255/", 1404270255)</f>
        <v>1404270255</v>
      </c>
      <c r="D7998">
        <v>-27799.200000000001</v>
      </c>
    </row>
    <row r="7999" spans="1:4" hidden="1" x14ac:dyDescent="0.25">
      <c r="A7999" t="s">
        <v>682</v>
      </c>
      <c r="B7999" t="s">
        <v>141</v>
      </c>
      <c r="C7999" s="2">
        <f>HYPERLINK("https://sao.dolgi.msk.ru/account/1404268438/", 1404268438)</f>
        <v>1404268438</v>
      </c>
      <c r="D7999">
        <v>-6799.48</v>
      </c>
    </row>
    <row r="8000" spans="1:4" hidden="1" x14ac:dyDescent="0.25">
      <c r="A8000" t="s">
        <v>682</v>
      </c>
      <c r="B8000" t="s">
        <v>142</v>
      </c>
      <c r="C8000" s="2">
        <f>HYPERLINK("https://sao.dolgi.msk.ru/account/1404270773/", 1404270773)</f>
        <v>1404270773</v>
      </c>
      <c r="D8000">
        <v>-4243.95</v>
      </c>
    </row>
    <row r="8001" spans="1:4" x14ac:dyDescent="0.25">
      <c r="A8001" t="s">
        <v>682</v>
      </c>
      <c r="B8001" t="s">
        <v>143</v>
      </c>
      <c r="C8001" s="2">
        <f>HYPERLINK("https://sao.dolgi.msk.ru/account/1404270781/", 1404270781)</f>
        <v>1404270781</v>
      </c>
      <c r="D8001">
        <v>27356.38</v>
      </c>
    </row>
    <row r="8002" spans="1:4" hidden="1" x14ac:dyDescent="0.25">
      <c r="A8002" t="s">
        <v>682</v>
      </c>
      <c r="B8002" t="s">
        <v>144</v>
      </c>
      <c r="C8002" s="2">
        <f>HYPERLINK("https://sao.dolgi.msk.ru/account/1404268446/", 1404268446)</f>
        <v>1404268446</v>
      </c>
      <c r="D8002">
        <v>-7910.56</v>
      </c>
    </row>
    <row r="8003" spans="1:4" hidden="1" x14ac:dyDescent="0.25">
      <c r="A8003" t="s">
        <v>682</v>
      </c>
      <c r="B8003" t="s">
        <v>145</v>
      </c>
      <c r="C8003" s="2">
        <f>HYPERLINK("https://sao.dolgi.msk.ru/account/1404269879/", 1404269879)</f>
        <v>1404269879</v>
      </c>
      <c r="D8003">
        <v>-6436.67</v>
      </c>
    </row>
    <row r="8004" spans="1:4" hidden="1" x14ac:dyDescent="0.25">
      <c r="A8004" t="s">
        <v>682</v>
      </c>
      <c r="B8004" t="s">
        <v>146</v>
      </c>
      <c r="C8004" s="2">
        <f>HYPERLINK("https://sao.dolgi.msk.ru/account/1404270802/", 1404270802)</f>
        <v>1404270802</v>
      </c>
      <c r="D8004">
        <v>-3561.67</v>
      </c>
    </row>
    <row r="8005" spans="1:4" hidden="1" x14ac:dyDescent="0.25">
      <c r="A8005" t="s">
        <v>682</v>
      </c>
      <c r="B8005" t="s">
        <v>147</v>
      </c>
      <c r="C8005" s="2">
        <f>HYPERLINK("https://sao.dolgi.msk.ru/account/1404268091/", 1404268091)</f>
        <v>1404268091</v>
      </c>
      <c r="D8005">
        <v>-5434.22</v>
      </c>
    </row>
    <row r="8006" spans="1:4" hidden="1" x14ac:dyDescent="0.25">
      <c r="A8006" t="s">
        <v>682</v>
      </c>
      <c r="B8006" t="s">
        <v>148</v>
      </c>
      <c r="C8006" s="2">
        <f>HYPERLINK("https://sao.dolgi.msk.ru/account/1404268876/", 1404268876)</f>
        <v>1404268876</v>
      </c>
      <c r="D8006">
        <v>-6258.61</v>
      </c>
    </row>
    <row r="8007" spans="1:4" hidden="1" x14ac:dyDescent="0.25">
      <c r="A8007" t="s">
        <v>682</v>
      </c>
      <c r="B8007" t="s">
        <v>149</v>
      </c>
      <c r="C8007" s="2">
        <f>HYPERLINK("https://sao.dolgi.msk.ru/account/1404270263/", 1404270263)</f>
        <v>1404270263</v>
      </c>
      <c r="D8007">
        <v>-3747.25</v>
      </c>
    </row>
    <row r="8008" spans="1:4" hidden="1" x14ac:dyDescent="0.25">
      <c r="A8008" t="s">
        <v>682</v>
      </c>
      <c r="B8008" t="s">
        <v>150</v>
      </c>
      <c r="C8008" s="2">
        <f>HYPERLINK("https://sao.dolgi.msk.ru/account/1404270271/", 1404270271)</f>
        <v>1404270271</v>
      </c>
      <c r="D8008">
        <v>-4669.71</v>
      </c>
    </row>
    <row r="8009" spans="1:4" x14ac:dyDescent="0.25">
      <c r="A8009" t="s">
        <v>682</v>
      </c>
      <c r="B8009" t="s">
        <v>151</v>
      </c>
      <c r="C8009" s="2">
        <f>HYPERLINK("https://sao.dolgi.msk.ru/account/1404268454/", 1404268454)</f>
        <v>1404268454</v>
      </c>
      <c r="D8009">
        <v>25220.98</v>
      </c>
    </row>
    <row r="8010" spans="1:4" hidden="1" x14ac:dyDescent="0.25">
      <c r="A8010" t="s">
        <v>682</v>
      </c>
      <c r="B8010" t="s">
        <v>152</v>
      </c>
      <c r="C8010" s="2">
        <f>HYPERLINK("https://sao.dolgi.msk.ru/account/1404268462/", 1404268462)</f>
        <v>1404268462</v>
      </c>
      <c r="D8010">
        <v>0</v>
      </c>
    </row>
    <row r="8011" spans="1:4" hidden="1" x14ac:dyDescent="0.25">
      <c r="A8011" t="s">
        <v>682</v>
      </c>
      <c r="B8011" t="s">
        <v>153</v>
      </c>
      <c r="C8011" s="2">
        <f>HYPERLINK("https://sao.dolgi.msk.ru/account/1404270298/", 1404270298)</f>
        <v>1404270298</v>
      </c>
      <c r="D8011">
        <v>0</v>
      </c>
    </row>
    <row r="8012" spans="1:4" hidden="1" x14ac:dyDescent="0.25">
      <c r="A8012" t="s">
        <v>682</v>
      </c>
      <c r="B8012" t="s">
        <v>154</v>
      </c>
      <c r="C8012" s="2">
        <f>HYPERLINK("https://sao.dolgi.msk.ru/account/1404271266/", 1404271266)</f>
        <v>1404271266</v>
      </c>
      <c r="D8012">
        <v>-6087.39</v>
      </c>
    </row>
    <row r="8013" spans="1:4" hidden="1" x14ac:dyDescent="0.25">
      <c r="A8013" t="s">
        <v>682</v>
      </c>
      <c r="B8013" t="s">
        <v>155</v>
      </c>
      <c r="C8013" s="2">
        <f>HYPERLINK("https://sao.dolgi.msk.ru/account/1404270829/", 1404270829)</f>
        <v>1404270829</v>
      </c>
      <c r="D8013">
        <v>0</v>
      </c>
    </row>
    <row r="8014" spans="1:4" hidden="1" x14ac:dyDescent="0.25">
      <c r="A8014" t="s">
        <v>682</v>
      </c>
      <c r="B8014" t="s">
        <v>156</v>
      </c>
      <c r="C8014" s="2">
        <f>HYPERLINK("https://sao.dolgi.msk.ru/account/1404270327/", 1404270327)</f>
        <v>1404270327</v>
      </c>
      <c r="D8014">
        <v>0</v>
      </c>
    </row>
    <row r="8015" spans="1:4" x14ac:dyDescent="0.25">
      <c r="A8015" t="s">
        <v>682</v>
      </c>
      <c r="B8015" t="s">
        <v>157</v>
      </c>
      <c r="C8015" s="2">
        <f>HYPERLINK("https://sao.dolgi.msk.ru/account/1404269414/", 1404269414)</f>
        <v>1404269414</v>
      </c>
      <c r="D8015">
        <v>22514.720000000001</v>
      </c>
    </row>
    <row r="8016" spans="1:4" hidden="1" x14ac:dyDescent="0.25">
      <c r="A8016" t="s">
        <v>682</v>
      </c>
      <c r="B8016" t="s">
        <v>158</v>
      </c>
      <c r="C8016" s="2">
        <f>HYPERLINK("https://sao.dolgi.msk.ru/account/1404270335/", 1404270335)</f>
        <v>1404270335</v>
      </c>
      <c r="D8016">
        <v>0</v>
      </c>
    </row>
    <row r="8017" spans="1:4" hidden="1" x14ac:dyDescent="0.25">
      <c r="A8017" t="s">
        <v>682</v>
      </c>
      <c r="B8017" t="s">
        <v>159</v>
      </c>
      <c r="C8017" s="2">
        <f>HYPERLINK("https://sao.dolgi.msk.ru/account/1404269887/", 1404269887)</f>
        <v>1404269887</v>
      </c>
      <c r="D8017">
        <v>-6459.62</v>
      </c>
    </row>
    <row r="8018" spans="1:4" hidden="1" x14ac:dyDescent="0.25">
      <c r="A8018" t="s">
        <v>682</v>
      </c>
      <c r="B8018" t="s">
        <v>160</v>
      </c>
      <c r="C8018" s="2">
        <f>HYPERLINK("https://sao.dolgi.msk.ru/account/1404269422/", 1404269422)</f>
        <v>1404269422</v>
      </c>
      <c r="D8018">
        <v>-7210.23</v>
      </c>
    </row>
    <row r="8019" spans="1:4" hidden="1" x14ac:dyDescent="0.25">
      <c r="A8019" t="s">
        <v>682</v>
      </c>
      <c r="B8019" t="s">
        <v>161</v>
      </c>
      <c r="C8019" s="2">
        <f>HYPERLINK("https://sao.dolgi.msk.ru/account/1404270837/", 1404270837)</f>
        <v>1404270837</v>
      </c>
      <c r="D8019">
        <v>0</v>
      </c>
    </row>
    <row r="8020" spans="1:4" x14ac:dyDescent="0.25">
      <c r="A8020" t="s">
        <v>682</v>
      </c>
      <c r="B8020" t="s">
        <v>162</v>
      </c>
      <c r="C8020" s="2">
        <f>HYPERLINK("https://sao.dolgi.msk.ru/account/1404268884/", 1404268884)</f>
        <v>1404268884</v>
      </c>
      <c r="D8020">
        <v>322.08</v>
      </c>
    </row>
    <row r="8021" spans="1:4" hidden="1" x14ac:dyDescent="0.25">
      <c r="A8021" t="s">
        <v>682</v>
      </c>
      <c r="B8021" t="s">
        <v>163</v>
      </c>
      <c r="C8021" s="2">
        <f>HYPERLINK("https://sao.dolgi.msk.ru/account/1404271274/", 1404271274)</f>
        <v>1404271274</v>
      </c>
      <c r="D8021">
        <v>-3370.5</v>
      </c>
    </row>
    <row r="8022" spans="1:4" hidden="1" x14ac:dyDescent="0.25">
      <c r="A8022" t="s">
        <v>682</v>
      </c>
      <c r="B8022" t="s">
        <v>164</v>
      </c>
      <c r="C8022" s="2">
        <f>HYPERLINK("https://sao.dolgi.msk.ru/account/1404268489/", 1404268489)</f>
        <v>1404268489</v>
      </c>
      <c r="D8022">
        <v>-2988.4</v>
      </c>
    </row>
    <row r="8023" spans="1:4" hidden="1" x14ac:dyDescent="0.25">
      <c r="A8023" t="s">
        <v>682</v>
      </c>
      <c r="B8023" t="s">
        <v>164</v>
      </c>
      <c r="C8023" s="2">
        <f>HYPERLINK("https://sao.dolgi.msk.ru/account/1404270351/", 1404270351)</f>
        <v>1404270351</v>
      </c>
      <c r="D8023">
        <v>-3409.65</v>
      </c>
    </row>
    <row r="8024" spans="1:4" x14ac:dyDescent="0.25">
      <c r="A8024" t="s">
        <v>682</v>
      </c>
      <c r="B8024" t="s">
        <v>683</v>
      </c>
      <c r="C8024" s="2">
        <f>HYPERLINK("https://sao.dolgi.msk.ru/account/1404271338/", 1404271338)</f>
        <v>1404271338</v>
      </c>
      <c r="D8024">
        <v>6750.07</v>
      </c>
    </row>
    <row r="8025" spans="1:4" hidden="1" x14ac:dyDescent="0.25">
      <c r="A8025" t="s">
        <v>682</v>
      </c>
      <c r="B8025" t="s">
        <v>167</v>
      </c>
      <c r="C8025" s="2">
        <f>HYPERLINK("https://sao.dolgi.msk.ru/account/1404270896/", 1404270896)</f>
        <v>1404270896</v>
      </c>
      <c r="D8025">
        <v>-5016.18</v>
      </c>
    </row>
    <row r="8026" spans="1:4" hidden="1" x14ac:dyDescent="0.25">
      <c r="A8026" t="s">
        <v>682</v>
      </c>
      <c r="B8026" t="s">
        <v>168</v>
      </c>
      <c r="C8026" s="2">
        <f>HYPERLINK("https://sao.dolgi.msk.ru/account/1404268155/", 1404268155)</f>
        <v>1404268155</v>
      </c>
      <c r="D8026">
        <v>0</v>
      </c>
    </row>
    <row r="8027" spans="1:4" hidden="1" x14ac:dyDescent="0.25">
      <c r="A8027" t="s">
        <v>682</v>
      </c>
      <c r="B8027" t="s">
        <v>169</v>
      </c>
      <c r="C8027" s="2">
        <f>HYPERLINK("https://sao.dolgi.msk.ru/account/1404269967/", 1404269967)</f>
        <v>1404269967</v>
      </c>
      <c r="D8027">
        <v>-7479.81</v>
      </c>
    </row>
    <row r="8028" spans="1:4" hidden="1" x14ac:dyDescent="0.25">
      <c r="A8028" t="s">
        <v>682</v>
      </c>
      <c r="B8028" t="s">
        <v>170</v>
      </c>
      <c r="C8028" s="2">
        <f>HYPERLINK("https://sao.dolgi.msk.ru/account/1404270909/", 1404270909)</f>
        <v>1404270909</v>
      </c>
      <c r="D8028">
        <v>0</v>
      </c>
    </row>
    <row r="8029" spans="1:4" hidden="1" x14ac:dyDescent="0.25">
      <c r="A8029" t="s">
        <v>682</v>
      </c>
      <c r="B8029" t="s">
        <v>171</v>
      </c>
      <c r="C8029" s="2">
        <f>HYPERLINK("https://sao.dolgi.msk.ru/account/1404268163/", 1404268163)</f>
        <v>1404268163</v>
      </c>
      <c r="D8029">
        <v>-2054.17</v>
      </c>
    </row>
    <row r="8030" spans="1:4" hidden="1" x14ac:dyDescent="0.25">
      <c r="A8030" t="s">
        <v>682</v>
      </c>
      <c r="B8030" t="s">
        <v>172</v>
      </c>
      <c r="C8030" s="2">
        <f>HYPERLINK("https://sao.dolgi.msk.ru/account/1404268171/", 1404268171)</f>
        <v>1404268171</v>
      </c>
      <c r="D8030">
        <v>-7126.38</v>
      </c>
    </row>
    <row r="8031" spans="1:4" hidden="1" x14ac:dyDescent="0.25">
      <c r="A8031" t="s">
        <v>682</v>
      </c>
      <c r="B8031" t="s">
        <v>173</v>
      </c>
      <c r="C8031" s="2">
        <f>HYPERLINK("https://sao.dolgi.msk.ru/account/1404268593/", 1404268593)</f>
        <v>1404268593</v>
      </c>
      <c r="D8031">
        <v>0</v>
      </c>
    </row>
    <row r="8032" spans="1:4" hidden="1" x14ac:dyDescent="0.25">
      <c r="A8032" t="s">
        <v>682</v>
      </c>
      <c r="B8032" t="s">
        <v>174</v>
      </c>
      <c r="C8032" s="2">
        <f>HYPERLINK("https://sao.dolgi.msk.ru/account/1404269975/", 1404269975)</f>
        <v>1404269975</v>
      </c>
      <c r="D8032">
        <v>-7575.83</v>
      </c>
    </row>
    <row r="8033" spans="1:4" x14ac:dyDescent="0.25">
      <c r="A8033" t="s">
        <v>682</v>
      </c>
      <c r="B8033" t="s">
        <v>175</v>
      </c>
      <c r="C8033" s="2">
        <f>HYPERLINK("https://sao.dolgi.msk.ru/account/1404271354/", 1404271354)</f>
        <v>1404271354</v>
      </c>
      <c r="D8033">
        <v>5904.1</v>
      </c>
    </row>
    <row r="8034" spans="1:4" hidden="1" x14ac:dyDescent="0.25">
      <c r="A8034" t="s">
        <v>682</v>
      </c>
      <c r="B8034" t="s">
        <v>176</v>
      </c>
      <c r="C8034" s="2">
        <f>HYPERLINK("https://sao.dolgi.msk.ru/account/1404268331/", 1404268331)</f>
        <v>1404268331</v>
      </c>
      <c r="D8034">
        <v>0</v>
      </c>
    </row>
    <row r="8035" spans="1:4" hidden="1" x14ac:dyDescent="0.25">
      <c r="A8035" t="s">
        <v>682</v>
      </c>
      <c r="B8035" t="s">
        <v>177</v>
      </c>
      <c r="C8035" s="2">
        <f>HYPERLINK("https://sao.dolgi.msk.ru/account/1404268358/", 1404268358)</f>
        <v>1404268358</v>
      </c>
      <c r="D8035">
        <v>-7438.48</v>
      </c>
    </row>
    <row r="8036" spans="1:4" hidden="1" x14ac:dyDescent="0.25">
      <c r="A8036" t="s">
        <v>682</v>
      </c>
      <c r="B8036" t="s">
        <v>178</v>
      </c>
      <c r="C8036" s="2">
        <f>HYPERLINK("https://sao.dolgi.msk.ru/account/1404269131/", 1404269131)</f>
        <v>1404269131</v>
      </c>
      <c r="D8036">
        <v>-6561.73</v>
      </c>
    </row>
    <row r="8037" spans="1:4" hidden="1" x14ac:dyDescent="0.25">
      <c r="A8037" t="s">
        <v>682</v>
      </c>
      <c r="B8037" t="s">
        <v>179</v>
      </c>
      <c r="C8037" s="2">
        <f>HYPERLINK("https://sao.dolgi.msk.ru/account/1404269158/", 1404269158)</f>
        <v>1404269158</v>
      </c>
      <c r="D8037">
        <v>-1919.98</v>
      </c>
    </row>
    <row r="8038" spans="1:4" hidden="1" x14ac:dyDescent="0.25">
      <c r="A8038" t="s">
        <v>682</v>
      </c>
      <c r="B8038" t="s">
        <v>180</v>
      </c>
      <c r="C8038" s="2">
        <f>HYPERLINK("https://sao.dolgi.msk.ru/account/1404269721/", 1404269721)</f>
        <v>1404269721</v>
      </c>
      <c r="D8038">
        <v>-4233.93</v>
      </c>
    </row>
    <row r="8039" spans="1:4" hidden="1" x14ac:dyDescent="0.25">
      <c r="A8039" t="s">
        <v>682</v>
      </c>
      <c r="B8039" t="s">
        <v>181</v>
      </c>
      <c r="C8039" s="2">
        <f>HYPERLINK("https://sao.dolgi.msk.ru/account/1404269166/", 1404269166)</f>
        <v>1404269166</v>
      </c>
      <c r="D8039">
        <v>-5069.38</v>
      </c>
    </row>
    <row r="8040" spans="1:4" hidden="1" x14ac:dyDescent="0.25">
      <c r="A8040" t="s">
        <v>682</v>
      </c>
      <c r="B8040" t="s">
        <v>182</v>
      </c>
      <c r="C8040" s="2">
        <f>HYPERLINK("https://sao.dolgi.msk.ru/account/1404270626/", 1404270626)</f>
        <v>1404270626</v>
      </c>
      <c r="D8040">
        <v>-4926.74</v>
      </c>
    </row>
    <row r="8041" spans="1:4" hidden="1" x14ac:dyDescent="0.25">
      <c r="A8041" t="s">
        <v>682</v>
      </c>
      <c r="B8041" t="s">
        <v>183</v>
      </c>
      <c r="C8041" s="2">
        <f>HYPERLINK("https://sao.dolgi.msk.ru/account/1404270108/", 1404270108)</f>
        <v>1404270108</v>
      </c>
      <c r="D8041">
        <v>-5303.42</v>
      </c>
    </row>
    <row r="8042" spans="1:4" hidden="1" x14ac:dyDescent="0.25">
      <c r="A8042" t="s">
        <v>682</v>
      </c>
      <c r="B8042" t="s">
        <v>184</v>
      </c>
      <c r="C8042" s="2">
        <f>HYPERLINK("https://sao.dolgi.msk.ru/account/1404267996/", 1404267996)</f>
        <v>1404267996</v>
      </c>
      <c r="D8042">
        <v>-5613.45</v>
      </c>
    </row>
    <row r="8043" spans="1:4" hidden="1" x14ac:dyDescent="0.25">
      <c r="A8043" t="s">
        <v>682</v>
      </c>
      <c r="B8043" t="s">
        <v>185</v>
      </c>
      <c r="C8043" s="2">
        <f>HYPERLINK("https://sao.dolgi.msk.ru/account/1404271098/", 1404271098)</f>
        <v>1404271098</v>
      </c>
      <c r="D8043">
        <v>-2121</v>
      </c>
    </row>
    <row r="8044" spans="1:4" x14ac:dyDescent="0.25">
      <c r="A8044" t="s">
        <v>682</v>
      </c>
      <c r="B8044" t="s">
        <v>186</v>
      </c>
      <c r="C8044" s="2">
        <f>HYPERLINK("https://sao.dolgi.msk.ru/account/1404271119/", 1404271119)</f>
        <v>1404271119</v>
      </c>
      <c r="D8044">
        <v>38347.519999999997</v>
      </c>
    </row>
    <row r="8045" spans="1:4" x14ac:dyDescent="0.25">
      <c r="A8045" t="s">
        <v>682</v>
      </c>
      <c r="B8045" t="s">
        <v>187</v>
      </c>
      <c r="C8045" s="2">
        <f>HYPERLINK("https://sao.dolgi.msk.ru/account/1404269182/", 1404269182)</f>
        <v>1404269182</v>
      </c>
      <c r="D8045">
        <v>18347.509999999998</v>
      </c>
    </row>
    <row r="8046" spans="1:4" x14ac:dyDescent="0.25">
      <c r="A8046" t="s">
        <v>682</v>
      </c>
      <c r="B8046" t="s">
        <v>188</v>
      </c>
      <c r="C8046" s="2">
        <f>HYPERLINK("https://sao.dolgi.msk.ru/account/1404270116/", 1404270116)</f>
        <v>1404270116</v>
      </c>
      <c r="D8046">
        <v>12348.61</v>
      </c>
    </row>
    <row r="8047" spans="1:4" hidden="1" x14ac:dyDescent="0.25">
      <c r="A8047" t="s">
        <v>682</v>
      </c>
      <c r="B8047" t="s">
        <v>189</v>
      </c>
      <c r="C8047" s="2">
        <f>HYPERLINK("https://sao.dolgi.msk.ru/account/1404270124/", 1404270124)</f>
        <v>1404270124</v>
      </c>
      <c r="D8047">
        <v>-22335.78</v>
      </c>
    </row>
    <row r="8048" spans="1:4" hidden="1" x14ac:dyDescent="0.25">
      <c r="A8048" t="s">
        <v>682</v>
      </c>
      <c r="B8048" t="s">
        <v>190</v>
      </c>
      <c r="C8048" s="2">
        <f>HYPERLINK("https://sao.dolgi.msk.ru/account/1404269203/", 1404269203)</f>
        <v>1404269203</v>
      </c>
      <c r="D8048">
        <v>-1959.24</v>
      </c>
    </row>
    <row r="8049" spans="1:4" hidden="1" x14ac:dyDescent="0.25">
      <c r="A8049" t="s">
        <v>682</v>
      </c>
      <c r="B8049" t="s">
        <v>191</v>
      </c>
      <c r="C8049" s="2">
        <f>HYPERLINK("https://sao.dolgi.msk.ru/account/1404269553/", 1404269553)</f>
        <v>1404269553</v>
      </c>
      <c r="D8049">
        <v>-1763.38</v>
      </c>
    </row>
    <row r="8050" spans="1:4" x14ac:dyDescent="0.25">
      <c r="A8050" t="s">
        <v>682</v>
      </c>
      <c r="B8050" t="s">
        <v>191</v>
      </c>
      <c r="C8050" s="2">
        <f>HYPERLINK("https://sao.dolgi.msk.ru/account/1404270132/", 1404270132)</f>
        <v>1404270132</v>
      </c>
      <c r="D8050">
        <v>8740.66</v>
      </c>
    </row>
    <row r="8051" spans="1:4" hidden="1" x14ac:dyDescent="0.25">
      <c r="A8051" t="s">
        <v>682</v>
      </c>
      <c r="B8051" t="s">
        <v>192</v>
      </c>
      <c r="C8051" s="2">
        <f>HYPERLINK("https://sao.dolgi.msk.ru/account/1404270634/", 1404270634)</f>
        <v>1404270634</v>
      </c>
      <c r="D8051">
        <v>0</v>
      </c>
    </row>
    <row r="8052" spans="1:4" hidden="1" x14ac:dyDescent="0.25">
      <c r="A8052" t="s">
        <v>682</v>
      </c>
      <c r="B8052" t="s">
        <v>193</v>
      </c>
      <c r="C8052" s="2">
        <f>HYPERLINK("https://sao.dolgi.msk.ru/account/1404269211/", 1404269211)</f>
        <v>1404269211</v>
      </c>
      <c r="D8052">
        <v>-5931.21</v>
      </c>
    </row>
    <row r="8053" spans="1:4" x14ac:dyDescent="0.25">
      <c r="A8053" t="s">
        <v>682</v>
      </c>
      <c r="B8053" t="s">
        <v>194</v>
      </c>
      <c r="C8053" s="2">
        <f>HYPERLINK("https://sao.dolgi.msk.ru/account/1404271127/", 1404271127)</f>
        <v>1404271127</v>
      </c>
      <c r="D8053">
        <v>4355.99</v>
      </c>
    </row>
    <row r="8054" spans="1:4" hidden="1" x14ac:dyDescent="0.25">
      <c r="A8054" t="s">
        <v>682</v>
      </c>
      <c r="B8054" t="s">
        <v>195</v>
      </c>
      <c r="C8054" s="2">
        <f>HYPERLINK("https://sao.dolgi.msk.ru/account/1404271135/", 1404271135)</f>
        <v>1404271135</v>
      </c>
      <c r="D8054">
        <v>-2644.72</v>
      </c>
    </row>
    <row r="8055" spans="1:4" x14ac:dyDescent="0.25">
      <c r="A8055" t="s">
        <v>682</v>
      </c>
      <c r="B8055" t="s">
        <v>196</v>
      </c>
      <c r="C8055" s="2">
        <f>HYPERLINK("https://sao.dolgi.msk.ru/account/1404269756/", 1404269756)</f>
        <v>1404269756</v>
      </c>
      <c r="D8055">
        <v>6127.85</v>
      </c>
    </row>
    <row r="8056" spans="1:4" hidden="1" x14ac:dyDescent="0.25">
      <c r="A8056" t="s">
        <v>682</v>
      </c>
      <c r="B8056" t="s">
        <v>197</v>
      </c>
      <c r="C8056" s="2">
        <f>HYPERLINK("https://sao.dolgi.msk.ru/account/1404268729/", 1404268729)</f>
        <v>1404268729</v>
      </c>
      <c r="D8056">
        <v>-5501.6</v>
      </c>
    </row>
    <row r="8057" spans="1:4" hidden="1" x14ac:dyDescent="0.25">
      <c r="A8057" t="s">
        <v>682</v>
      </c>
      <c r="B8057" t="s">
        <v>198</v>
      </c>
      <c r="C8057" s="2">
        <f>HYPERLINK("https://sao.dolgi.msk.ru/account/1404268307/", 1404268307)</f>
        <v>1404268307</v>
      </c>
      <c r="D8057">
        <v>-4998.37</v>
      </c>
    </row>
    <row r="8058" spans="1:4" x14ac:dyDescent="0.25">
      <c r="A8058" t="s">
        <v>682</v>
      </c>
      <c r="B8058" t="s">
        <v>199</v>
      </c>
      <c r="C8058" s="2">
        <f>HYPERLINK("https://sao.dolgi.msk.ru/account/1404269676/", 1404269676)</f>
        <v>1404269676</v>
      </c>
      <c r="D8058">
        <v>1781.4</v>
      </c>
    </row>
    <row r="8059" spans="1:4" hidden="1" x14ac:dyDescent="0.25">
      <c r="A8059" t="s">
        <v>682</v>
      </c>
      <c r="B8059" t="s">
        <v>200</v>
      </c>
      <c r="C8059" s="2">
        <f>HYPERLINK("https://sao.dolgi.msk.ru/account/1404268315/", 1404268315)</f>
        <v>1404268315</v>
      </c>
      <c r="D8059">
        <v>-5148.58</v>
      </c>
    </row>
    <row r="8060" spans="1:4" x14ac:dyDescent="0.25">
      <c r="A8060" t="s">
        <v>682</v>
      </c>
      <c r="B8060" t="s">
        <v>201</v>
      </c>
      <c r="C8060" s="2">
        <f>HYPERLINK("https://sao.dolgi.msk.ru/account/1404271055/", 1404271055)</f>
        <v>1404271055</v>
      </c>
      <c r="D8060">
        <v>19937.400000000001</v>
      </c>
    </row>
    <row r="8061" spans="1:4" x14ac:dyDescent="0.25">
      <c r="A8061" t="s">
        <v>682</v>
      </c>
      <c r="B8061" t="s">
        <v>202</v>
      </c>
      <c r="C8061" s="2">
        <f>HYPERLINK("https://sao.dolgi.msk.ru/account/1404269684/", 1404269684)</f>
        <v>1404269684</v>
      </c>
      <c r="D8061">
        <v>22293.14</v>
      </c>
    </row>
    <row r="8062" spans="1:4" hidden="1" x14ac:dyDescent="0.25">
      <c r="A8062" t="s">
        <v>682</v>
      </c>
      <c r="B8062" t="s">
        <v>203</v>
      </c>
      <c r="C8062" s="2">
        <f>HYPERLINK("https://sao.dolgi.msk.ru/account/1404270618/", 1404270618)</f>
        <v>1404270618</v>
      </c>
      <c r="D8062">
        <v>-5785.88</v>
      </c>
    </row>
    <row r="8063" spans="1:4" hidden="1" x14ac:dyDescent="0.25">
      <c r="A8063" t="s">
        <v>682</v>
      </c>
      <c r="B8063" t="s">
        <v>204</v>
      </c>
      <c r="C8063" s="2">
        <f>HYPERLINK("https://sao.dolgi.msk.ru/account/1404271063/", 1404271063)</f>
        <v>1404271063</v>
      </c>
      <c r="D8063">
        <v>-5565.43</v>
      </c>
    </row>
    <row r="8064" spans="1:4" hidden="1" x14ac:dyDescent="0.25">
      <c r="A8064" t="s">
        <v>682</v>
      </c>
      <c r="B8064" t="s">
        <v>205</v>
      </c>
      <c r="C8064" s="2">
        <f>HYPERLINK("https://sao.dolgi.msk.ru/account/1404269692/", 1404269692)</f>
        <v>1404269692</v>
      </c>
      <c r="D8064">
        <v>-6452.93</v>
      </c>
    </row>
    <row r="8065" spans="1:4" x14ac:dyDescent="0.25">
      <c r="A8065" t="s">
        <v>682</v>
      </c>
      <c r="B8065" t="s">
        <v>206</v>
      </c>
      <c r="C8065" s="2">
        <f>HYPERLINK("https://sao.dolgi.msk.ru/account/1404269705/", 1404269705)</f>
        <v>1404269705</v>
      </c>
      <c r="D8065">
        <v>2218.4299999999998</v>
      </c>
    </row>
    <row r="8066" spans="1:4" hidden="1" x14ac:dyDescent="0.25">
      <c r="A8066" t="s">
        <v>682</v>
      </c>
      <c r="B8066" t="s">
        <v>207</v>
      </c>
      <c r="C8066" s="2">
        <f>HYPERLINK("https://sao.dolgi.msk.ru/account/1404269713/", 1404269713)</f>
        <v>1404269713</v>
      </c>
      <c r="D8066">
        <v>-5740.02</v>
      </c>
    </row>
    <row r="8067" spans="1:4" x14ac:dyDescent="0.25">
      <c r="A8067" t="s">
        <v>682</v>
      </c>
      <c r="B8067" t="s">
        <v>208</v>
      </c>
      <c r="C8067" s="2">
        <f>HYPERLINK("https://sao.dolgi.msk.ru/account/1404271071/", 1404271071)</f>
        <v>1404271071</v>
      </c>
      <c r="D8067">
        <v>26284.05</v>
      </c>
    </row>
    <row r="8068" spans="1:4" hidden="1" x14ac:dyDescent="0.25">
      <c r="A8068" t="s">
        <v>682</v>
      </c>
      <c r="B8068" t="s">
        <v>209</v>
      </c>
      <c r="C8068" s="2">
        <f>HYPERLINK("https://sao.dolgi.msk.ru/account/1404269641/", 1404269641)</f>
        <v>1404269641</v>
      </c>
      <c r="D8068">
        <v>-7045.5</v>
      </c>
    </row>
    <row r="8069" spans="1:4" hidden="1" x14ac:dyDescent="0.25">
      <c r="A8069" t="s">
        <v>682</v>
      </c>
      <c r="B8069" t="s">
        <v>210</v>
      </c>
      <c r="C8069" s="2">
        <f>HYPERLINK("https://sao.dolgi.msk.ru/account/1404270562/", 1404270562)</f>
        <v>1404270562</v>
      </c>
      <c r="D8069">
        <v>-2757.92</v>
      </c>
    </row>
    <row r="8070" spans="1:4" x14ac:dyDescent="0.25">
      <c r="A8070" t="s">
        <v>682</v>
      </c>
      <c r="B8070" t="s">
        <v>211</v>
      </c>
      <c r="C8070" s="2">
        <f>HYPERLINK("https://sao.dolgi.msk.ru/account/1404268286/", 1404268286)</f>
        <v>1404268286</v>
      </c>
      <c r="D8070">
        <v>8498.34</v>
      </c>
    </row>
    <row r="8071" spans="1:4" hidden="1" x14ac:dyDescent="0.25">
      <c r="A8071" t="s">
        <v>682</v>
      </c>
      <c r="B8071" t="s">
        <v>212</v>
      </c>
      <c r="C8071" s="2">
        <f>HYPERLINK("https://sao.dolgi.msk.ru/account/1404268294/", 1404268294)</f>
        <v>1404268294</v>
      </c>
      <c r="D8071">
        <v>0</v>
      </c>
    </row>
    <row r="8072" spans="1:4" hidden="1" x14ac:dyDescent="0.25">
      <c r="A8072" t="s">
        <v>682</v>
      </c>
      <c r="B8072" t="s">
        <v>213</v>
      </c>
      <c r="C8072" s="2">
        <f>HYPERLINK("https://sao.dolgi.msk.ru/account/1404269668/", 1404269668)</f>
        <v>1404269668</v>
      </c>
      <c r="D8072">
        <v>0</v>
      </c>
    </row>
    <row r="8073" spans="1:4" hidden="1" x14ac:dyDescent="0.25">
      <c r="A8073" t="s">
        <v>682</v>
      </c>
      <c r="B8073" t="s">
        <v>214</v>
      </c>
      <c r="C8073" s="2">
        <f>HYPERLINK("https://sao.dolgi.msk.ru/account/1404268681/", 1404268681)</f>
        <v>1404268681</v>
      </c>
      <c r="D8073">
        <v>-4764.79</v>
      </c>
    </row>
    <row r="8074" spans="1:4" hidden="1" x14ac:dyDescent="0.25">
      <c r="A8074" t="s">
        <v>682</v>
      </c>
      <c r="B8074" t="s">
        <v>215</v>
      </c>
      <c r="C8074" s="2">
        <f>HYPERLINK("https://sao.dolgi.msk.ru/account/1404269617/", 1404269617)</f>
        <v>1404269617</v>
      </c>
      <c r="D8074">
        <v>-2654.94</v>
      </c>
    </row>
    <row r="8075" spans="1:4" hidden="1" x14ac:dyDescent="0.25">
      <c r="A8075" t="s">
        <v>682</v>
      </c>
      <c r="B8075" t="s">
        <v>215</v>
      </c>
      <c r="C8075" s="2">
        <f>HYPERLINK("https://sao.dolgi.msk.ru/account/1404270415/", 1404270415)</f>
        <v>1404270415</v>
      </c>
      <c r="D8075">
        <v>-3382.1</v>
      </c>
    </row>
    <row r="8076" spans="1:4" hidden="1" x14ac:dyDescent="0.25">
      <c r="A8076" t="s">
        <v>682</v>
      </c>
      <c r="B8076" t="s">
        <v>216</v>
      </c>
      <c r="C8076" s="2">
        <f>HYPERLINK("https://sao.dolgi.msk.ru/account/1404269625/", 1404269625)</f>
        <v>1404269625</v>
      </c>
      <c r="D8076">
        <v>-1481.62</v>
      </c>
    </row>
    <row r="8077" spans="1:4" hidden="1" x14ac:dyDescent="0.25">
      <c r="A8077" t="s">
        <v>682</v>
      </c>
      <c r="B8077" t="s">
        <v>216</v>
      </c>
      <c r="C8077" s="2">
        <f>HYPERLINK("https://sao.dolgi.msk.ru/account/1404271039/", 1404271039)</f>
        <v>1404271039</v>
      </c>
      <c r="D8077">
        <v>-4223.2</v>
      </c>
    </row>
    <row r="8078" spans="1:4" hidden="1" x14ac:dyDescent="0.25">
      <c r="A8078" t="s">
        <v>682</v>
      </c>
      <c r="B8078" t="s">
        <v>217</v>
      </c>
      <c r="C8078" s="2">
        <f>HYPERLINK("https://sao.dolgi.msk.ru/account/1404269123/", 1404269123)</f>
        <v>1404269123</v>
      </c>
      <c r="D8078">
        <v>-5628.76</v>
      </c>
    </row>
    <row r="8079" spans="1:4" hidden="1" x14ac:dyDescent="0.25">
      <c r="A8079" t="s">
        <v>682</v>
      </c>
      <c r="B8079" t="s">
        <v>218</v>
      </c>
      <c r="C8079" s="2">
        <f>HYPERLINK("https://sao.dolgi.msk.ru/account/1404268702/", 1404268702)</f>
        <v>1404268702</v>
      </c>
      <c r="D8079">
        <v>-4415.26</v>
      </c>
    </row>
    <row r="8080" spans="1:4" hidden="1" x14ac:dyDescent="0.25">
      <c r="A8080" t="s">
        <v>682</v>
      </c>
      <c r="B8080" t="s">
        <v>219</v>
      </c>
      <c r="C8080" s="2">
        <f>HYPERLINK("https://sao.dolgi.msk.ru/account/1404269633/", 1404269633)</f>
        <v>1404269633</v>
      </c>
      <c r="D8080">
        <v>-5008.3</v>
      </c>
    </row>
    <row r="8081" spans="1:4" hidden="1" x14ac:dyDescent="0.25">
      <c r="A8081" t="s">
        <v>682</v>
      </c>
      <c r="B8081" t="s">
        <v>220</v>
      </c>
      <c r="C8081" s="2">
        <f>HYPERLINK("https://sao.dolgi.msk.ru/account/1404270095/", 1404270095)</f>
        <v>1404270095</v>
      </c>
      <c r="D8081">
        <v>0</v>
      </c>
    </row>
    <row r="8082" spans="1:4" hidden="1" x14ac:dyDescent="0.25">
      <c r="A8082" t="s">
        <v>682</v>
      </c>
      <c r="B8082" t="s">
        <v>221</v>
      </c>
      <c r="C8082" s="2">
        <f>HYPERLINK("https://sao.dolgi.msk.ru/account/1404267961/", 1404267961)</f>
        <v>1404267961</v>
      </c>
      <c r="D8082">
        <v>-9426.56</v>
      </c>
    </row>
    <row r="8083" spans="1:4" hidden="1" x14ac:dyDescent="0.25">
      <c r="A8083" t="s">
        <v>682</v>
      </c>
      <c r="B8083" t="s">
        <v>222</v>
      </c>
      <c r="C8083" s="2">
        <f>HYPERLINK("https://sao.dolgi.msk.ru/account/1404267953/", 1404267953)</f>
        <v>1404267953</v>
      </c>
      <c r="D8083">
        <v>-291.75</v>
      </c>
    </row>
    <row r="8084" spans="1:4" hidden="1" x14ac:dyDescent="0.25">
      <c r="A8084" t="s">
        <v>682</v>
      </c>
      <c r="B8084" t="s">
        <v>223</v>
      </c>
      <c r="C8084" s="2">
        <f>HYPERLINK("https://sao.dolgi.msk.ru/account/1404270984/", 1404270984)</f>
        <v>1404270984</v>
      </c>
      <c r="D8084">
        <v>-3678.71</v>
      </c>
    </row>
    <row r="8085" spans="1:4" hidden="1" x14ac:dyDescent="0.25">
      <c r="A8085" t="s">
        <v>682</v>
      </c>
      <c r="B8085" t="s">
        <v>224</v>
      </c>
      <c r="C8085" s="2">
        <f>HYPERLINK("https://sao.dolgi.msk.ru/account/1404269107/", 1404269107)</f>
        <v>1404269107</v>
      </c>
      <c r="D8085">
        <v>-5956.43</v>
      </c>
    </row>
    <row r="8086" spans="1:4" hidden="1" x14ac:dyDescent="0.25">
      <c r="A8086" t="s">
        <v>682</v>
      </c>
      <c r="B8086" t="s">
        <v>225</v>
      </c>
      <c r="C8086" s="2">
        <f>HYPERLINK("https://sao.dolgi.msk.ru/account/1404270554/", 1404270554)</f>
        <v>1404270554</v>
      </c>
      <c r="D8086">
        <v>-4905.3900000000003</v>
      </c>
    </row>
    <row r="8087" spans="1:4" hidden="1" x14ac:dyDescent="0.25">
      <c r="A8087" t="s">
        <v>682</v>
      </c>
      <c r="B8087" t="s">
        <v>226</v>
      </c>
      <c r="C8087" s="2">
        <f>HYPERLINK("https://sao.dolgi.msk.ru/account/1404270992/", 1404270992)</f>
        <v>1404270992</v>
      </c>
      <c r="D8087">
        <v>-4292.88</v>
      </c>
    </row>
    <row r="8088" spans="1:4" hidden="1" x14ac:dyDescent="0.25">
      <c r="A8088" t="s">
        <v>682</v>
      </c>
      <c r="B8088" t="s">
        <v>227</v>
      </c>
      <c r="C8088" s="2">
        <f>HYPERLINK("https://sao.dolgi.msk.ru/account/1404269115/", 1404269115)</f>
        <v>1404269115</v>
      </c>
      <c r="D8088">
        <v>-1913.39</v>
      </c>
    </row>
    <row r="8089" spans="1:4" hidden="1" x14ac:dyDescent="0.25">
      <c r="A8089" t="s">
        <v>682</v>
      </c>
      <c r="B8089" t="s">
        <v>228</v>
      </c>
      <c r="C8089" s="2">
        <f>HYPERLINK("https://sao.dolgi.msk.ru/account/1404271004/", 1404271004)</f>
        <v>1404271004</v>
      </c>
      <c r="D8089">
        <v>-3497.67</v>
      </c>
    </row>
    <row r="8090" spans="1:4" hidden="1" x14ac:dyDescent="0.25">
      <c r="A8090" t="s">
        <v>682</v>
      </c>
      <c r="B8090" t="s">
        <v>229</v>
      </c>
      <c r="C8090" s="2">
        <f>HYPERLINK("https://sao.dolgi.msk.ru/account/1404270079/", 1404270079)</f>
        <v>1404270079</v>
      </c>
      <c r="D8090">
        <v>-6138.72</v>
      </c>
    </row>
    <row r="8091" spans="1:4" x14ac:dyDescent="0.25">
      <c r="A8091" t="s">
        <v>682</v>
      </c>
      <c r="B8091" t="s">
        <v>230</v>
      </c>
      <c r="C8091" s="2">
        <f>HYPERLINK("https://sao.dolgi.msk.ru/account/1404268251/", 1404268251)</f>
        <v>1404268251</v>
      </c>
      <c r="D8091">
        <v>1057.53</v>
      </c>
    </row>
    <row r="8092" spans="1:4" hidden="1" x14ac:dyDescent="0.25">
      <c r="A8092" t="s">
        <v>682</v>
      </c>
      <c r="B8092" t="s">
        <v>231</v>
      </c>
      <c r="C8092" s="2">
        <f>HYPERLINK("https://sao.dolgi.msk.ru/account/1404268278/", 1404268278)</f>
        <v>1404268278</v>
      </c>
      <c r="D8092">
        <v>0</v>
      </c>
    </row>
    <row r="8093" spans="1:4" hidden="1" x14ac:dyDescent="0.25">
      <c r="A8093" t="s">
        <v>682</v>
      </c>
      <c r="B8093" t="s">
        <v>232</v>
      </c>
      <c r="C8093" s="2">
        <f>HYPERLINK("https://sao.dolgi.msk.ru/account/1404271012/", 1404271012)</f>
        <v>1404271012</v>
      </c>
      <c r="D8093">
        <v>0</v>
      </c>
    </row>
    <row r="8094" spans="1:4" hidden="1" x14ac:dyDescent="0.25">
      <c r="A8094" t="s">
        <v>682</v>
      </c>
      <c r="B8094" t="s">
        <v>232</v>
      </c>
      <c r="C8094" s="2">
        <f>HYPERLINK("https://sao.dolgi.msk.ru/account/1404294193/", 1404294193)</f>
        <v>1404294193</v>
      </c>
      <c r="D8094">
        <v>0</v>
      </c>
    </row>
    <row r="8095" spans="1:4" hidden="1" x14ac:dyDescent="0.25">
      <c r="A8095" t="s">
        <v>682</v>
      </c>
      <c r="B8095" t="s">
        <v>233</v>
      </c>
      <c r="C8095" s="2">
        <f>HYPERLINK("https://sao.dolgi.msk.ru/account/1404270087/", 1404270087)</f>
        <v>1404270087</v>
      </c>
      <c r="D8095">
        <v>-9381.1299999999992</v>
      </c>
    </row>
    <row r="8096" spans="1:4" hidden="1" x14ac:dyDescent="0.25">
      <c r="A8096" t="s">
        <v>682</v>
      </c>
      <c r="B8096" t="s">
        <v>234</v>
      </c>
      <c r="C8096" s="2">
        <f>HYPERLINK("https://sao.dolgi.msk.ru/account/1404269449/", 1404269449)</f>
        <v>1404269449</v>
      </c>
      <c r="D8096">
        <v>-4249.46</v>
      </c>
    </row>
    <row r="8097" spans="1:4" hidden="1" x14ac:dyDescent="0.25">
      <c r="A8097" t="s">
        <v>682</v>
      </c>
      <c r="B8097" t="s">
        <v>235</v>
      </c>
      <c r="C8097" s="2">
        <f>HYPERLINK("https://sao.dolgi.msk.ru/account/1404268913/", 1404268913)</f>
        <v>1404268913</v>
      </c>
      <c r="D8097">
        <v>-3.92</v>
      </c>
    </row>
    <row r="8098" spans="1:4" hidden="1" x14ac:dyDescent="0.25">
      <c r="A8098" t="s">
        <v>682</v>
      </c>
      <c r="B8098" t="s">
        <v>239</v>
      </c>
      <c r="C8098" s="2">
        <f>HYPERLINK("https://sao.dolgi.msk.ru/account/1404270378/", 1404270378)</f>
        <v>1404270378</v>
      </c>
      <c r="D8098">
        <v>-4576.63</v>
      </c>
    </row>
    <row r="8099" spans="1:4" hidden="1" x14ac:dyDescent="0.25">
      <c r="A8099" t="s">
        <v>682</v>
      </c>
      <c r="B8099" t="s">
        <v>240</v>
      </c>
      <c r="C8099" s="2">
        <f>HYPERLINK("https://sao.dolgi.msk.ru/account/1404269457/", 1404269457)</f>
        <v>1404269457</v>
      </c>
      <c r="D8099">
        <v>-4859.09</v>
      </c>
    </row>
    <row r="8100" spans="1:4" hidden="1" x14ac:dyDescent="0.25">
      <c r="A8100" t="s">
        <v>682</v>
      </c>
      <c r="B8100" t="s">
        <v>241</v>
      </c>
      <c r="C8100" s="2">
        <f>HYPERLINK("https://sao.dolgi.msk.ru/account/1404271282/", 1404271282)</f>
        <v>1404271282</v>
      </c>
      <c r="D8100">
        <v>-3579.15</v>
      </c>
    </row>
    <row r="8101" spans="1:4" hidden="1" x14ac:dyDescent="0.25">
      <c r="A8101" t="s">
        <v>682</v>
      </c>
      <c r="B8101" t="s">
        <v>242</v>
      </c>
      <c r="C8101" s="2">
        <f>HYPERLINK("https://sao.dolgi.msk.ru/account/1404270597/", 1404270597)</f>
        <v>1404270597</v>
      </c>
      <c r="D8101">
        <v>-761.36</v>
      </c>
    </row>
    <row r="8102" spans="1:4" hidden="1" x14ac:dyDescent="0.25">
      <c r="A8102" t="s">
        <v>682</v>
      </c>
      <c r="B8102" t="s">
        <v>243</v>
      </c>
      <c r="C8102" s="2">
        <f>HYPERLINK("https://sao.dolgi.msk.ru/account/1404269465/", 1404269465)</f>
        <v>1404269465</v>
      </c>
      <c r="D8102">
        <v>-6538.6</v>
      </c>
    </row>
    <row r="8103" spans="1:4" hidden="1" x14ac:dyDescent="0.25">
      <c r="A8103" t="s">
        <v>682</v>
      </c>
      <c r="B8103" t="s">
        <v>244</v>
      </c>
      <c r="C8103" s="2">
        <f>HYPERLINK("https://sao.dolgi.msk.ru/account/1404269908/", 1404269908)</f>
        <v>1404269908</v>
      </c>
      <c r="D8103">
        <v>0</v>
      </c>
    </row>
    <row r="8104" spans="1:4" hidden="1" x14ac:dyDescent="0.25">
      <c r="A8104" t="s">
        <v>682</v>
      </c>
      <c r="B8104" t="s">
        <v>245</v>
      </c>
      <c r="C8104" s="2">
        <f>HYPERLINK("https://sao.dolgi.msk.ru/account/1404270845/", 1404270845)</f>
        <v>1404270845</v>
      </c>
      <c r="D8104">
        <v>-3501.4</v>
      </c>
    </row>
    <row r="8105" spans="1:4" hidden="1" x14ac:dyDescent="0.25">
      <c r="A8105" t="s">
        <v>682</v>
      </c>
      <c r="B8105" t="s">
        <v>246</v>
      </c>
      <c r="C8105" s="2">
        <f>HYPERLINK("https://sao.dolgi.msk.ru/account/1404268921/", 1404268921)</f>
        <v>1404268921</v>
      </c>
      <c r="D8105">
        <v>-4768.5600000000004</v>
      </c>
    </row>
    <row r="8106" spans="1:4" hidden="1" x14ac:dyDescent="0.25">
      <c r="A8106" t="s">
        <v>682</v>
      </c>
      <c r="B8106" t="s">
        <v>247</v>
      </c>
      <c r="C8106" s="2">
        <f>HYPERLINK("https://sao.dolgi.msk.ru/account/1404269481/", 1404269481)</f>
        <v>1404269481</v>
      </c>
      <c r="D8106">
        <v>-5035.59</v>
      </c>
    </row>
    <row r="8107" spans="1:4" hidden="1" x14ac:dyDescent="0.25">
      <c r="A8107" t="s">
        <v>682</v>
      </c>
      <c r="B8107" t="s">
        <v>248</v>
      </c>
      <c r="C8107" s="2">
        <f>HYPERLINK("https://sao.dolgi.msk.ru/account/1404268518/", 1404268518)</f>
        <v>1404268518</v>
      </c>
      <c r="D8107">
        <v>-6556.96</v>
      </c>
    </row>
    <row r="8108" spans="1:4" hidden="1" x14ac:dyDescent="0.25">
      <c r="A8108" t="s">
        <v>682</v>
      </c>
      <c r="B8108" t="s">
        <v>249</v>
      </c>
      <c r="C8108" s="2">
        <f>HYPERLINK("https://sao.dolgi.msk.ru/account/1404268948/", 1404268948)</f>
        <v>1404268948</v>
      </c>
      <c r="D8108">
        <v>-3288.21</v>
      </c>
    </row>
    <row r="8109" spans="1:4" hidden="1" x14ac:dyDescent="0.25">
      <c r="A8109" t="s">
        <v>682</v>
      </c>
      <c r="B8109" t="s">
        <v>250</v>
      </c>
      <c r="C8109" s="2">
        <f>HYPERLINK("https://sao.dolgi.msk.ru/account/1404270386/", 1404270386)</f>
        <v>1404270386</v>
      </c>
      <c r="D8109">
        <v>-5157.8500000000004</v>
      </c>
    </row>
    <row r="8110" spans="1:4" hidden="1" x14ac:dyDescent="0.25">
      <c r="A8110" t="s">
        <v>682</v>
      </c>
      <c r="B8110" t="s">
        <v>251</v>
      </c>
      <c r="C8110" s="2">
        <f>HYPERLINK("https://sao.dolgi.msk.ru/account/1404270853/", 1404270853)</f>
        <v>1404270853</v>
      </c>
      <c r="D8110">
        <v>-8586.1200000000008</v>
      </c>
    </row>
    <row r="8111" spans="1:4" x14ac:dyDescent="0.25">
      <c r="A8111" t="s">
        <v>682</v>
      </c>
      <c r="B8111" t="s">
        <v>252</v>
      </c>
      <c r="C8111" s="2">
        <f>HYPERLINK("https://sao.dolgi.msk.ru/account/1404268526/", 1404268526)</f>
        <v>1404268526</v>
      </c>
      <c r="D8111">
        <v>35430.43</v>
      </c>
    </row>
    <row r="8112" spans="1:4" hidden="1" x14ac:dyDescent="0.25">
      <c r="A8112" t="s">
        <v>682</v>
      </c>
      <c r="B8112" t="s">
        <v>253</v>
      </c>
      <c r="C8112" s="2">
        <f>HYPERLINK("https://sao.dolgi.msk.ru/account/1404270394/", 1404270394)</f>
        <v>1404270394</v>
      </c>
      <c r="D8112">
        <v>0</v>
      </c>
    </row>
    <row r="8113" spans="1:4" hidden="1" x14ac:dyDescent="0.25">
      <c r="A8113" t="s">
        <v>682</v>
      </c>
      <c r="B8113" t="s">
        <v>254</v>
      </c>
      <c r="C8113" s="2">
        <f>HYPERLINK("https://sao.dolgi.msk.ru/account/1404268104/", 1404268104)</f>
        <v>1404268104</v>
      </c>
      <c r="D8113">
        <v>-2588.4499999999998</v>
      </c>
    </row>
    <row r="8114" spans="1:4" hidden="1" x14ac:dyDescent="0.25">
      <c r="A8114" t="s">
        <v>682</v>
      </c>
      <c r="B8114" t="s">
        <v>255</v>
      </c>
      <c r="C8114" s="2">
        <f>HYPERLINK("https://sao.dolgi.msk.ru/account/1404268956/", 1404268956)</f>
        <v>1404268956</v>
      </c>
      <c r="D8114">
        <v>-6850.26</v>
      </c>
    </row>
    <row r="8115" spans="1:4" hidden="1" x14ac:dyDescent="0.25">
      <c r="A8115" t="s">
        <v>682</v>
      </c>
      <c r="B8115" t="s">
        <v>256</v>
      </c>
      <c r="C8115" s="2">
        <f>HYPERLINK("https://sao.dolgi.msk.ru/account/1404268112/", 1404268112)</f>
        <v>1404268112</v>
      </c>
      <c r="D8115">
        <v>-6115.9</v>
      </c>
    </row>
    <row r="8116" spans="1:4" x14ac:dyDescent="0.25">
      <c r="A8116" t="s">
        <v>682</v>
      </c>
      <c r="B8116" t="s">
        <v>257</v>
      </c>
      <c r="C8116" s="2">
        <f>HYPERLINK("https://sao.dolgi.msk.ru/account/1404268972/", 1404268972)</f>
        <v>1404268972</v>
      </c>
      <c r="D8116">
        <v>16883.29</v>
      </c>
    </row>
    <row r="8117" spans="1:4" hidden="1" x14ac:dyDescent="0.25">
      <c r="A8117" t="s">
        <v>682</v>
      </c>
      <c r="B8117" t="s">
        <v>258</v>
      </c>
      <c r="C8117" s="2">
        <f>HYPERLINK("https://sao.dolgi.msk.ru/account/1404270407/", 1404270407)</f>
        <v>1404270407</v>
      </c>
      <c r="D8117">
        <v>0</v>
      </c>
    </row>
    <row r="8118" spans="1:4" x14ac:dyDescent="0.25">
      <c r="A8118" t="s">
        <v>682</v>
      </c>
      <c r="B8118" t="s">
        <v>259</v>
      </c>
      <c r="C8118" s="2">
        <f>HYPERLINK("https://sao.dolgi.msk.ru/account/1404268534/", 1404268534)</f>
        <v>1404268534</v>
      </c>
      <c r="D8118">
        <v>4836.08</v>
      </c>
    </row>
    <row r="8119" spans="1:4" hidden="1" x14ac:dyDescent="0.25">
      <c r="A8119" t="s">
        <v>682</v>
      </c>
      <c r="B8119" t="s">
        <v>260</v>
      </c>
      <c r="C8119" s="2">
        <f>HYPERLINK("https://sao.dolgi.msk.ru/account/1404269502/", 1404269502)</f>
        <v>1404269502</v>
      </c>
      <c r="D8119">
        <v>0</v>
      </c>
    </row>
    <row r="8120" spans="1:4" x14ac:dyDescent="0.25">
      <c r="A8120" t="s">
        <v>682</v>
      </c>
      <c r="B8120" t="s">
        <v>262</v>
      </c>
      <c r="C8120" s="2">
        <f>HYPERLINK("https://sao.dolgi.msk.ru/account/1404268999/", 1404268999)</f>
        <v>1404268999</v>
      </c>
      <c r="D8120">
        <v>14969.92</v>
      </c>
    </row>
    <row r="8121" spans="1:4" x14ac:dyDescent="0.25">
      <c r="A8121" t="s">
        <v>682</v>
      </c>
      <c r="B8121" t="s">
        <v>264</v>
      </c>
      <c r="C8121" s="2">
        <f>HYPERLINK("https://sao.dolgi.msk.ru/account/1404269019/", 1404269019)</f>
        <v>1404269019</v>
      </c>
      <c r="D8121">
        <v>726.14</v>
      </c>
    </row>
    <row r="8122" spans="1:4" hidden="1" x14ac:dyDescent="0.25">
      <c r="A8122" t="s">
        <v>682</v>
      </c>
      <c r="B8122" t="s">
        <v>265</v>
      </c>
      <c r="C8122" s="2">
        <f>HYPERLINK("https://sao.dolgi.msk.ru/account/1404270861/", 1404270861)</f>
        <v>1404270861</v>
      </c>
      <c r="D8122">
        <v>0</v>
      </c>
    </row>
    <row r="8123" spans="1:4" hidden="1" x14ac:dyDescent="0.25">
      <c r="A8123" t="s">
        <v>682</v>
      </c>
      <c r="B8123" t="s">
        <v>266</v>
      </c>
      <c r="C8123" s="2">
        <f>HYPERLINK("https://sao.dolgi.msk.ru/account/1404269529/", 1404269529)</f>
        <v>1404269529</v>
      </c>
      <c r="D8123">
        <v>-5178.59</v>
      </c>
    </row>
    <row r="8124" spans="1:4" hidden="1" x14ac:dyDescent="0.25">
      <c r="A8124" t="s">
        <v>682</v>
      </c>
      <c r="B8124" t="s">
        <v>267</v>
      </c>
      <c r="C8124" s="2">
        <f>HYPERLINK("https://sao.dolgi.msk.ru/account/1404268905/", 1404268905)</f>
        <v>1404268905</v>
      </c>
      <c r="D8124">
        <v>-6430.46</v>
      </c>
    </row>
    <row r="8125" spans="1:4" hidden="1" x14ac:dyDescent="0.25">
      <c r="A8125" t="s">
        <v>682</v>
      </c>
      <c r="B8125" t="s">
        <v>268</v>
      </c>
      <c r="C8125" s="2">
        <f>HYPERLINK("https://sao.dolgi.msk.ru/account/1404270714/", 1404270714)</f>
        <v>1404270714</v>
      </c>
      <c r="D8125">
        <v>-6357.73</v>
      </c>
    </row>
    <row r="8126" spans="1:4" hidden="1" x14ac:dyDescent="0.25">
      <c r="A8126" t="s">
        <v>682</v>
      </c>
      <c r="B8126" t="s">
        <v>269</v>
      </c>
      <c r="C8126" s="2">
        <f>HYPERLINK("https://sao.dolgi.msk.ru/account/1404269318/", 1404269318)</f>
        <v>1404269318</v>
      </c>
      <c r="D8126">
        <v>0</v>
      </c>
    </row>
    <row r="8127" spans="1:4" hidden="1" x14ac:dyDescent="0.25">
      <c r="A8127" t="s">
        <v>682</v>
      </c>
      <c r="B8127" t="s">
        <v>270</v>
      </c>
      <c r="C8127" s="2">
        <f>HYPERLINK("https://sao.dolgi.msk.ru/account/1404270722/", 1404270722)</f>
        <v>1404270722</v>
      </c>
      <c r="D8127">
        <v>-4670.1000000000004</v>
      </c>
    </row>
    <row r="8128" spans="1:4" hidden="1" x14ac:dyDescent="0.25">
      <c r="A8128" t="s">
        <v>682</v>
      </c>
      <c r="B8128" t="s">
        <v>271</v>
      </c>
      <c r="C8128" s="2">
        <f>HYPERLINK("https://sao.dolgi.msk.ru/account/1404270204/", 1404270204)</f>
        <v>1404270204</v>
      </c>
      <c r="D8128">
        <v>-2802.86</v>
      </c>
    </row>
    <row r="8129" spans="1:4" hidden="1" x14ac:dyDescent="0.25">
      <c r="A8129" t="s">
        <v>682</v>
      </c>
      <c r="B8129" t="s">
        <v>272</v>
      </c>
      <c r="C8129" s="2">
        <f>HYPERLINK("https://sao.dolgi.msk.ru/account/1404269799/", 1404269799)</f>
        <v>1404269799</v>
      </c>
      <c r="D8129">
        <v>-6276.33</v>
      </c>
    </row>
    <row r="8130" spans="1:4" hidden="1" x14ac:dyDescent="0.25">
      <c r="A8130" t="s">
        <v>682</v>
      </c>
      <c r="B8130" t="s">
        <v>273</v>
      </c>
      <c r="C8130" s="2">
        <f>HYPERLINK("https://sao.dolgi.msk.ru/account/1404270212/", 1404270212)</f>
        <v>1404270212</v>
      </c>
      <c r="D8130">
        <v>0</v>
      </c>
    </row>
    <row r="8131" spans="1:4" hidden="1" x14ac:dyDescent="0.25">
      <c r="A8131" t="s">
        <v>682</v>
      </c>
      <c r="B8131" t="s">
        <v>274</v>
      </c>
      <c r="C8131" s="2">
        <f>HYPERLINK("https://sao.dolgi.msk.ru/account/1404269801/", 1404269801)</f>
        <v>1404269801</v>
      </c>
      <c r="D8131">
        <v>0</v>
      </c>
    </row>
    <row r="8132" spans="1:4" hidden="1" x14ac:dyDescent="0.25">
      <c r="A8132" t="s">
        <v>682</v>
      </c>
      <c r="B8132" t="s">
        <v>275</v>
      </c>
      <c r="C8132" s="2">
        <f>HYPERLINK("https://sao.dolgi.msk.ru/account/1404268403/", 1404268403)</f>
        <v>1404268403</v>
      </c>
      <c r="D8132">
        <v>-4067.41</v>
      </c>
    </row>
    <row r="8133" spans="1:4" x14ac:dyDescent="0.25">
      <c r="A8133" t="s">
        <v>682</v>
      </c>
      <c r="B8133" t="s">
        <v>276</v>
      </c>
      <c r="C8133" s="2">
        <f>HYPERLINK("https://sao.dolgi.msk.ru/account/1404268841/", 1404268841)</f>
        <v>1404268841</v>
      </c>
      <c r="D8133">
        <v>64807.74</v>
      </c>
    </row>
    <row r="8134" spans="1:4" x14ac:dyDescent="0.25">
      <c r="A8134" t="s">
        <v>682</v>
      </c>
      <c r="B8134" t="s">
        <v>277</v>
      </c>
      <c r="C8134" s="2">
        <f>HYPERLINK("https://sao.dolgi.msk.ru/account/1404269828/", 1404269828)</f>
        <v>1404269828</v>
      </c>
      <c r="D8134">
        <v>536.08000000000004</v>
      </c>
    </row>
    <row r="8135" spans="1:4" hidden="1" x14ac:dyDescent="0.25">
      <c r="A8135" t="s">
        <v>682</v>
      </c>
      <c r="B8135" t="s">
        <v>278</v>
      </c>
      <c r="C8135" s="2">
        <f>HYPERLINK("https://sao.dolgi.msk.ru/account/1404269326/", 1404269326)</f>
        <v>1404269326</v>
      </c>
      <c r="D8135">
        <v>-5317.38</v>
      </c>
    </row>
    <row r="8136" spans="1:4" hidden="1" x14ac:dyDescent="0.25">
      <c r="A8136" t="s">
        <v>682</v>
      </c>
      <c r="B8136" t="s">
        <v>279</v>
      </c>
      <c r="C8136" s="2">
        <f>HYPERLINK("https://sao.dolgi.msk.ru/account/1404268067/", 1404268067)</f>
        <v>1404268067</v>
      </c>
      <c r="D8136">
        <v>0</v>
      </c>
    </row>
    <row r="8137" spans="1:4" hidden="1" x14ac:dyDescent="0.25">
      <c r="A8137" t="s">
        <v>682</v>
      </c>
      <c r="B8137" t="s">
        <v>280</v>
      </c>
      <c r="C8137" s="2">
        <f>HYPERLINK("https://sao.dolgi.msk.ru/account/1404269334/", 1404269334)</f>
        <v>1404269334</v>
      </c>
      <c r="D8137">
        <v>-6417.69</v>
      </c>
    </row>
    <row r="8138" spans="1:4" x14ac:dyDescent="0.25">
      <c r="A8138" t="s">
        <v>682</v>
      </c>
      <c r="B8138" t="s">
        <v>281</v>
      </c>
      <c r="C8138" s="2">
        <f>HYPERLINK("https://sao.dolgi.msk.ru/account/1404269836/", 1404269836)</f>
        <v>1404269836</v>
      </c>
      <c r="D8138">
        <v>720.29</v>
      </c>
    </row>
    <row r="8139" spans="1:4" hidden="1" x14ac:dyDescent="0.25">
      <c r="A8139" t="s">
        <v>682</v>
      </c>
      <c r="B8139" t="s">
        <v>282</v>
      </c>
      <c r="C8139" s="2">
        <f>HYPERLINK("https://sao.dolgi.msk.ru/account/1404271207/", 1404271207)</f>
        <v>1404271207</v>
      </c>
      <c r="D8139">
        <v>0</v>
      </c>
    </row>
    <row r="8140" spans="1:4" hidden="1" x14ac:dyDescent="0.25">
      <c r="A8140" t="s">
        <v>682</v>
      </c>
      <c r="B8140" t="s">
        <v>283</v>
      </c>
      <c r="C8140" s="2">
        <f>HYPERLINK("https://sao.dolgi.msk.ru/account/1404269844/", 1404269844)</f>
        <v>1404269844</v>
      </c>
      <c r="D8140">
        <v>-3836.43</v>
      </c>
    </row>
    <row r="8141" spans="1:4" hidden="1" x14ac:dyDescent="0.25">
      <c r="A8141" t="s">
        <v>682</v>
      </c>
      <c r="B8141" t="s">
        <v>284</v>
      </c>
      <c r="C8141" s="2">
        <f>HYPERLINK("https://sao.dolgi.msk.ru/account/1404270239/", 1404270239)</f>
        <v>1404270239</v>
      </c>
      <c r="D8141">
        <v>-7812.65</v>
      </c>
    </row>
    <row r="8142" spans="1:4" hidden="1" x14ac:dyDescent="0.25">
      <c r="A8142" t="s">
        <v>682</v>
      </c>
      <c r="B8142" t="s">
        <v>285</v>
      </c>
      <c r="C8142" s="2">
        <f>HYPERLINK("https://sao.dolgi.msk.ru/account/1404269852/", 1404269852)</f>
        <v>1404269852</v>
      </c>
      <c r="D8142">
        <v>-3433.49</v>
      </c>
    </row>
    <row r="8143" spans="1:4" hidden="1" x14ac:dyDescent="0.25">
      <c r="A8143" t="s">
        <v>682</v>
      </c>
      <c r="B8143" t="s">
        <v>286</v>
      </c>
      <c r="C8143" s="2">
        <f>HYPERLINK("https://sao.dolgi.msk.ru/account/1404269254/", 1404269254)</f>
        <v>1404269254</v>
      </c>
      <c r="D8143">
        <v>-6564.43</v>
      </c>
    </row>
    <row r="8144" spans="1:4" hidden="1" x14ac:dyDescent="0.25">
      <c r="A8144" t="s">
        <v>682</v>
      </c>
      <c r="B8144" t="s">
        <v>287</v>
      </c>
      <c r="C8144" s="2">
        <f>HYPERLINK("https://sao.dolgi.msk.ru/account/1404268382/", 1404268382)</f>
        <v>1404268382</v>
      </c>
      <c r="D8144">
        <v>0</v>
      </c>
    </row>
    <row r="8145" spans="1:4" hidden="1" x14ac:dyDescent="0.25">
      <c r="A8145" t="s">
        <v>682</v>
      </c>
      <c r="B8145" t="s">
        <v>288</v>
      </c>
      <c r="C8145" s="2">
        <f>HYPERLINK("https://sao.dolgi.msk.ru/account/1404269262/", 1404269262)</f>
        <v>1404269262</v>
      </c>
      <c r="D8145">
        <v>0</v>
      </c>
    </row>
    <row r="8146" spans="1:4" hidden="1" x14ac:dyDescent="0.25">
      <c r="A8146" t="s">
        <v>682</v>
      </c>
      <c r="B8146" t="s">
        <v>289</v>
      </c>
      <c r="C8146" s="2">
        <f>HYPERLINK("https://sao.dolgi.msk.ru/account/1404269289/", 1404269289)</f>
        <v>1404269289</v>
      </c>
      <c r="D8146">
        <v>-4240.46</v>
      </c>
    </row>
    <row r="8147" spans="1:4" x14ac:dyDescent="0.25">
      <c r="A8147" t="s">
        <v>682</v>
      </c>
      <c r="B8147" t="s">
        <v>290</v>
      </c>
      <c r="C8147" s="2">
        <f>HYPERLINK("https://sao.dolgi.msk.ru/account/1404270693/", 1404270693)</f>
        <v>1404270693</v>
      </c>
      <c r="D8147">
        <v>7860.53</v>
      </c>
    </row>
    <row r="8148" spans="1:4" hidden="1" x14ac:dyDescent="0.25">
      <c r="A8148" t="s">
        <v>682</v>
      </c>
      <c r="B8148" t="s">
        <v>291</v>
      </c>
      <c r="C8148" s="2">
        <f>HYPERLINK("https://sao.dolgi.msk.ru/account/1404269297/", 1404269297)</f>
        <v>1404269297</v>
      </c>
      <c r="D8148">
        <v>0</v>
      </c>
    </row>
    <row r="8149" spans="1:4" hidden="1" x14ac:dyDescent="0.25">
      <c r="A8149" t="s">
        <v>684</v>
      </c>
      <c r="B8149" t="s">
        <v>5</v>
      </c>
      <c r="C8149" s="2">
        <f>HYPERLINK("https://sao.dolgi.msk.ru/account/1404273018/", 1404273018)</f>
        <v>1404273018</v>
      </c>
      <c r="D8149">
        <v>0</v>
      </c>
    </row>
    <row r="8150" spans="1:4" hidden="1" x14ac:dyDescent="0.25">
      <c r="A8150" t="s">
        <v>684</v>
      </c>
      <c r="B8150" t="s">
        <v>6</v>
      </c>
      <c r="C8150" s="2">
        <f>HYPERLINK("https://sao.dolgi.msk.ru/account/1404272437/", 1404272437)</f>
        <v>1404272437</v>
      </c>
      <c r="D8150">
        <v>0</v>
      </c>
    </row>
    <row r="8151" spans="1:4" hidden="1" x14ac:dyDescent="0.25">
      <c r="A8151" t="s">
        <v>684</v>
      </c>
      <c r="B8151" t="s">
        <v>7</v>
      </c>
      <c r="C8151" s="2">
        <f>HYPERLINK("https://sao.dolgi.msk.ru/account/1404272146/", 1404272146)</f>
        <v>1404272146</v>
      </c>
      <c r="D8151">
        <v>0</v>
      </c>
    </row>
    <row r="8152" spans="1:4" hidden="1" x14ac:dyDescent="0.25">
      <c r="A8152" t="s">
        <v>684</v>
      </c>
      <c r="B8152" t="s">
        <v>8</v>
      </c>
      <c r="C8152" s="2">
        <f>HYPERLINK("https://sao.dolgi.msk.ru/account/1404271776/", 1404271776)</f>
        <v>1404271776</v>
      </c>
      <c r="D8152">
        <v>-5090.42</v>
      </c>
    </row>
    <row r="8153" spans="1:4" hidden="1" x14ac:dyDescent="0.25">
      <c r="A8153" t="s">
        <v>684</v>
      </c>
      <c r="B8153" t="s">
        <v>9</v>
      </c>
      <c r="C8153" s="2">
        <f>HYPERLINK("https://sao.dolgi.msk.ru/account/1404272752/", 1404272752)</f>
        <v>1404272752</v>
      </c>
      <c r="D8153">
        <v>-37166.160000000003</v>
      </c>
    </row>
    <row r="8154" spans="1:4" x14ac:dyDescent="0.25">
      <c r="A8154" t="s">
        <v>684</v>
      </c>
      <c r="B8154" t="s">
        <v>10</v>
      </c>
      <c r="C8154" s="2">
        <f>HYPERLINK("https://sao.dolgi.msk.ru/account/1404273122/", 1404273122)</f>
        <v>1404273122</v>
      </c>
      <c r="D8154">
        <v>7208.23</v>
      </c>
    </row>
    <row r="8155" spans="1:4" x14ac:dyDescent="0.25">
      <c r="A8155" t="s">
        <v>684</v>
      </c>
      <c r="B8155" t="s">
        <v>11</v>
      </c>
      <c r="C8155" s="2">
        <f>HYPERLINK("https://sao.dolgi.msk.ru/account/1404271979/", 1404271979)</f>
        <v>1404271979</v>
      </c>
      <c r="D8155">
        <v>92025.64</v>
      </c>
    </row>
    <row r="8156" spans="1:4" hidden="1" x14ac:dyDescent="0.25">
      <c r="A8156" t="s">
        <v>684</v>
      </c>
      <c r="B8156" t="s">
        <v>12</v>
      </c>
      <c r="C8156" s="2">
        <f>HYPERLINK("https://sao.dolgi.msk.ru/account/1404272226/", 1404272226)</f>
        <v>1404272226</v>
      </c>
      <c r="D8156">
        <v>-4325.68</v>
      </c>
    </row>
    <row r="8157" spans="1:4" hidden="1" x14ac:dyDescent="0.25">
      <c r="A8157" t="s">
        <v>684</v>
      </c>
      <c r="B8157" t="s">
        <v>13</v>
      </c>
      <c r="C8157" s="2">
        <f>HYPERLINK("https://sao.dolgi.msk.ru/account/1404272234/", 1404272234)</f>
        <v>1404272234</v>
      </c>
      <c r="D8157">
        <v>0</v>
      </c>
    </row>
    <row r="8158" spans="1:4" hidden="1" x14ac:dyDescent="0.25">
      <c r="A8158" t="s">
        <v>684</v>
      </c>
      <c r="B8158" t="s">
        <v>14</v>
      </c>
      <c r="C8158" s="2">
        <f>HYPERLINK("https://sao.dolgi.msk.ru/account/1404272883/", 1404272883)</f>
        <v>1404272883</v>
      </c>
      <c r="D8158">
        <v>-6424.78</v>
      </c>
    </row>
    <row r="8159" spans="1:4" hidden="1" x14ac:dyDescent="0.25">
      <c r="A8159" t="s">
        <v>684</v>
      </c>
      <c r="B8159" t="s">
        <v>15</v>
      </c>
      <c r="C8159" s="2">
        <f>HYPERLINK("https://sao.dolgi.msk.ru/account/1404272349/", 1404272349)</f>
        <v>1404272349</v>
      </c>
      <c r="D8159">
        <v>-5099.6899999999996</v>
      </c>
    </row>
    <row r="8160" spans="1:4" hidden="1" x14ac:dyDescent="0.25">
      <c r="A8160" t="s">
        <v>684</v>
      </c>
      <c r="B8160" t="s">
        <v>16</v>
      </c>
      <c r="C8160" s="2">
        <f>HYPERLINK("https://sao.dolgi.msk.ru/account/1404271573/", 1404271573)</f>
        <v>1404271573</v>
      </c>
      <c r="D8160">
        <v>-4198.63</v>
      </c>
    </row>
    <row r="8161" spans="1:4" x14ac:dyDescent="0.25">
      <c r="A8161" t="s">
        <v>684</v>
      </c>
      <c r="B8161" t="s">
        <v>17</v>
      </c>
      <c r="C8161" s="2">
        <f>HYPERLINK("https://sao.dolgi.msk.ru/account/1404272779/", 1404272779)</f>
        <v>1404272779</v>
      </c>
      <c r="D8161">
        <v>9148.2099999999991</v>
      </c>
    </row>
    <row r="8162" spans="1:4" hidden="1" x14ac:dyDescent="0.25">
      <c r="A8162" t="s">
        <v>684</v>
      </c>
      <c r="B8162" t="s">
        <v>18</v>
      </c>
      <c r="C8162" s="2">
        <f>HYPERLINK("https://sao.dolgi.msk.ru/account/1404271813/", 1404271813)</f>
        <v>1404271813</v>
      </c>
      <c r="D8162">
        <v>-7401.54</v>
      </c>
    </row>
    <row r="8163" spans="1:4" hidden="1" x14ac:dyDescent="0.25">
      <c r="A8163" t="s">
        <v>684</v>
      </c>
      <c r="B8163" t="s">
        <v>19</v>
      </c>
      <c r="C8163" s="2">
        <f>HYPERLINK("https://sao.dolgi.msk.ru/account/1404272189/", 1404272189)</f>
        <v>1404272189</v>
      </c>
      <c r="D8163">
        <v>-5640.46</v>
      </c>
    </row>
    <row r="8164" spans="1:4" hidden="1" x14ac:dyDescent="0.25">
      <c r="A8164" t="s">
        <v>684</v>
      </c>
      <c r="B8164" t="s">
        <v>20</v>
      </c>
      <c r="C8164" s="2">
        <f>HYPERLINK("https://sao.dolgi.msk.ru/account/1404271952/", 1404271952)</f>
        <v>1404271952</v>
      </c>
      <c r="D8164">
        <v>0</v>
      </c>
    </row>
    <row r="8165" spans="1:4" hidden="1" x14ac:dyDescent="0.25">
      <c r="A8165" t="s">
        <v>684</v>
      </c>
      <c r="B8165" t="s">
        <v>21</v>
      </c>
      <c r="C8165" s="2">
        <f>HYPERLINK("https://sao.dolgi.msk.ru/account/1404272963/", 1404272963)</f>
        <v>1404272963</v>
      </c>
      <c r="D8165">
        <v>-5834.39</v>
      </c>
    </row>
    <row r="8166" spans="1:4" hidden="1" x14ac:dyDescent="0.25">
      <c r="A8166" t="s">
        <v>684</v>
      </c>
      <c r="B8166" t="s">
        <v>22</v>
      </c>
      <c r="C8166" s="2">
        <f>HYPERLINK("https://sao.dolgi.msk.ru/account/1404272701/", 1404272701)</f>
        <v>1404272701</v>
      </c>
      <c r="D8166">
        <v>0</v>
      </c>
    </row>
    <row r="8167" spans="1:4" hidden="1" x14ac:dyDescent="0.25">
      <c r="A8167" t="s">
        <v>684</v>
      </c>
      <c r="B8167" t="s">
        <v>23</v>
      </c>
      <c r="C8167" s="2">
        <f>HYPERLINK("https://sao.dolgi.msk.ru/account/1404272656/", 1404272656)</f>
        <v>1404272656</v>
      </c>
      <c r="D8167">
        <v>-7696.35</v>
      </c>
    </row>
    <row r="8168" spans="1:4" hidden="1" x14ac:dyDescent="0.25">
      <c r="A8168" t="s">
        <v>684</v>
      </c>
      <c r="B8168" t="s">
        <v>24</v>
      </c>
      <c r="C8168" s="2">
        <f>HYPERLINK("https://sao.dolgi.msk.ru/account/1404272162/", 1404272162)</f>
        <v>1404272162</v>
      </c>
      <c r="D8168">
        <v>-5738.12</v>
      </c>
    </row>
    <row r="8169" spans="1:4" hidden="1" x14ac:dyDescent="0.25">
      <c r="A8169" t="s">
        <v>684</v>
      </c>
      <c r="B8169" t="s">
        <v>25</v>
      </c>
      <c r="C8169" s="2">
        <f>HYPERLINK("https://sao.dolgi.msk.ru/account/1404272621/", 1404272621)</f>
        <v>1404272621</v>
      </c>
      <c r="D8169">
        <v>-8130.45</v>
      </c>
    </row>
    <row r="8170" spans="1:4" hidden="1" x14ac:dyDescent="0.25">
      <c r="A8170" t="s">
        <v>684</v>
      </c>
      <c r="B8170" t="s">
        <v>26</v>
      </c>
      <c r="C8170" s="2">
        <f>HYPERLINK("https://sao.dolgi.msk.ru/account/1404271581/", 1404271581)</f>
        <v>1404271581</v>
      </c>
      <c r="D8170">
        <v>-5510.22</v>
      </c>
    </row>
    <row r="8171" spans="1:4" hidden="1" x14ac:dyDescent="0.25">
      <c r="A8171" t="s">
        <v>684</v>
      </c>
      <c r="B8171" t="s">
        <v>27</v>
      </c>
      <c r="C8171" s="2">
        <f>HYPERLINK("https://sao.dolgi.msk.ru/account/1404273093/", 1404273093)</f>
        <v>1404273093</v>
      </c>
      <c r="D8171">
        <v>0</v>
      </c>
    </row>
    <row r="8172" spans="1:4" hidden="1" x14ac:dyDescent="0.25">
      <c r="A8172" t="s">
        <v>684</v>
      </c>
      <c r="B8172" t="s">
        <v>28</v>
      </c>
      <c r="C8172" s="2">
        <f>HYPERLINK("https://sao.dolgi.msk.ru/account/1404271848/", 1404271848)</f>
        <v>1404271848</v>
      </c>
      <c r="D8172">
        <v>-7256.64</v>
      </c>
    </row>
    <row r="8173" spans="1:4" hidden="1" x14ac:dyDescent="0.25">
      <c r="A8173" t="s">
        <v>684</v>
      </c>
      <c r="B8173" t="s">
        <v>29</v>
      </c>
      <c r="C8173" s="2">
        <f>HYPERLINK("https://sao.dolgi.msk.ru/account/1404272058/", 1404272058)</f>
        <v>1404272058</v>
      </c>
      <c r="D8173">
        <v>-5183.91</v>
      </c>
    </row>
    <row r="8174" spans="1:4" hidden="1" x14ac:dyDescent="0.25">
      <c r="A8174" t="s">
        <v>684</v>
      </c>
      <c r="B8174" t="s">
        <v>30</v>
      </c>
      <c r="C8174" s="2">
        <f>HYPERLINK("https://sao.dolgi.msk.ru/account/1404272074/", 1404272074)</f>
        <v>1404272074</v>
      </c>
      <c r="D8174">
        <v>-5676.64</v>
      </c>
    </row>
    <row r="8175" spans="1:4" hidden="1" x14ac:dyDescent="0.25">
      <c r="A8175" t="s">
        <v>684</v>
      </c>
      <c r="B8175" t="s">
        <v>31</v>
      </c>
      <c r="C8175" s="2">
        <f>HYPERLINK("https://sao.dolgi.msk.ru/account/1404272584/", 1404272584)</f>
        <v>1404272584</v>
      </c>
      <c r="D8175">
        <v>-8297.82</v>
      </c>
    </row>
    <row r="8176" spans="1:4" hidden="1" x14ac:dyDescent="0.25">
      <c r="A8176" t="s">
        <v>684</v>
      </c>
      <c r="B8176" t="s">
        <v>32</v>
      </c>
      <c r="C8176" s="2">
        <f>HYPERLINK("https://sao.dolgi.msk.ru/account/1404272365/", 1404272365)</f>
        <v>1404272365</v>
      </c>
      <c r="D8176">
        <v>-5950.07</v>
      </c>
    </row>
    <row r="8177" spans="1:4" x14ac:dyDescent="0.25">
      <c r="A8177" t="s">
        <v>684</v>
      </c>
      <c r="B8177" t="s">
        <v>33</v>
      </c>
      <c r="C8177" s="2">
        <f>HYPERLINK("https://sao.dolgi.msk.ru/account/1404271565/", 1404271565)</f>
        <v>1404271565</v>
      </c>
      <c r="D8177">
        <v>10390.57</v>
      </c>
    </row>
    <row r="8178" spans="1:4" hidden="1" x14ac:dyDescent="0.25">
      <c r="A8178" t="s">
        <v>684</v>
      </c>
      <c r="B8178" t="s">
        <v>34</v>
      </c>
      <c r="C8178" s="2">
        <f>HYPERLINK("https://sao.dolgi.msk.ru/account/1404272082/", 1404272082)</f>
        <v>1404272082</v>
      </c>
      <c r="D8178">
        <v>-7498.84</v>
      </c>
    </row>
    <row r="8179" spans="1:4" hidden="1" x14ac:dyDescent="0.25">
      <c r="A8179" t="s">
        <v>684</v>
      </c>
      <c r="B8179" t="s">
        <v>35</v>
      </c>
      <c r="C8179" s="2">
        <f>HYPERLINK("https://sao.dolgi.msk.ru/account/1404272285/", 1404272285)</f>
        <v>1404272285</v>
      </c>
      <c r="D8179">
        <v>-6491.64</v>
      </c>
    </row>
    <row r="8180" spans="1:4" hidden="1" x14ac:dyDescent="0.25">
      <c r="A8180" t="s">
        <v>684</v>
      </c>
      <c r="B8180" t="s">
        <v>36</v>
      </c>
      <c r="C8180" s="2">
        <f>HYPERLINK("https://sao.dolgi.msk.ru/account/1404272517/", 1404272517)</f>
        <v>1404272517</v>
      </c>
      <c r="D8180">
        <v>-2716.41</v>
      </c>
    </row>
    <row r="8181" spans="1:4" hidden="1" x14ac:dyDescent="0.25">
      <c r="A8181" t="s">
        <v>684</v>
      </c>
      <c r="B8181" t="s">
        <v>37</v>
      </c>
      <c r="C8181" s="2">
        <f>HYPERLINK("https://sao.dolgi.msk.ru/account/1404273237/", 1404273237)</f>
        <v>1404273237</v>
      </c>
      <c r="D8181">
        <v>-4279.37</v>
      </c>
    </row>
    <row r="8182" spans="1:4" hidden="1" x14ac:dyDescent="0.25">
      <c r="A8182" t="s">
        <v>684</v>
      </c>
      <c r="B8182" t="s">
        <v>38</v>
      </c>
      <c r="C8182" s="2">
        <f>HYPERLINK("https://sao.dolgi.msk.ru/account/1404272525/", 1404272525)</f>
        <v>1404272525</v>
      </c>
      <c r="D8182">
        <v>-9015.99</v>
      </c>
    </row>
    <row r="8183" spans="1:4" hidden="1" x14ac:dyDescent="0.25">
      <c r="A8183" t="s">
        <v>684</v>
      </c>
      <c r="B8183" t="s">
        <v>39</v>
      </c>
      <c r="C8183" s="2">
        <f>HYPERLINK("https://sao.dolgi.msk.ru/account/1404272939/", 1404272939)</f>
        <v>1404272939</v>
      </c>
      <c r="D8183">
        <v>-5452.97</v>
      </c>
    </row>
    <row r="8184" spans="1:4" hidden="1" x14ac:dyDescent="0.25">
      <c r="A8184" t="s">
        <v>684</v>
      </c>
      <c r="B8184" t="s">
        <v>40</v>
      </c>
      <c r="C8184" s="2">
        <f>HYPERLINK("https://sao.dolgi.msk.ru/account/1404272816/", 1404272816)</f>
        <v>1404272816</v>
      </c>
      <c r="D8184">
        <v>-4520.9799999999996</v>
      </c>
    </row>
    <row r="8185" spans="1:4" x14ac:dyDescent="0.25">
      <c r="A8185" t="s">
        <v>684</v>
      </c>
      <c r="B8185" t="s">
        <v>41</v>
      </c>
      <c r="C8185" s="2">
        <f>HYPERLINK("https://sao.dolgi.msk.ru/account/1404272453/", 1404272453)</f>
        <v>1404272453</v>
      </c>
      <c r="D8185">
        <v>9162.07</v>
      </c>
    </row>
    <row r="8186" spans="1:4" hidden="1" x14ac:dyDescent="0.25">
      <c r="A8186" t="s">
        <v>684</v>
      </c>
      <c r="B8186" t="s">
        <v>41</v>
      </c>
      <c r="C8186" s="2">
        <f>HYPERLINK("https://sao.dolgi.msk.ru/account/1404293983/", 1404293983)</f>
        <v>1404293983</v>
      </c>
      <c r="D8186">
        <v>-12856.25</v>
      </c>
    </row>
    <row r="8187" spans="1:4" hidden="1" x14ac:dyDescent="0.25">
      <c r="A8187" t="s">
        <v>684</v>
      </c>
      <c r="B8187" t="s">
        <v>42</v>
      </c>
      <c r="C8187" s="2">
        <f>HYPERLINK("https://sao.dolgi.msk.ru/account/1404273173/", 1404273173)</f>
        <v>1404273173</v>
      </c>
      <c r="D8187">
        <v>-8495.44</v>
      </c>
    </row>
    <row r="8188" spans="1:4" hidden="1" x14ac:dyDescent="0.25">
      <c r="A8188" t="s">
        <v>684</v>
      </c>
      <c r="B8188" t="s">
        <v>43</v>
      </c>
      <c r="C8188" s="2">
        <f>HYPERLINK("https://sao.dolgi.msk.ru/account/1404272533/", 1404272533)</f>
        <v>1404272533</v>
      </c>
      <c r="D8188">
        <v>0</v>
      </c>
    </row>
    <row r="8189" spans="1:4" x14ac:dyDescent="0.25">
      <c r="A8189" t="s">
        <v>684</v>
      </c>
      <c r="B8189" t="s">
        <v>44</v>
      </c>
      <c r="C8189" s="2">
        <f>HYPERLINK("https://sao.dolgi.msk.ru/account/1404272832/", 1404272832)</f>
        <v>1404272832</v>
      </c>
      <c r="D8189">
        <v>828.69</v>
      </c>
    </row>
    <row r="8190" spans="1:4" hidden="1" x14ac:dyDescent="0.25">
      <c r="A8190" t="s">
        <v>684</v>
      </c>
      <c r="B8190" t="s">
        <v>45</v>
      </c>
      <c r="C8190" s="2">
        <f>HYPERLINK("https://sao.dolgi.msk.ru/account/1404271987/", 1404271987)</f>
        <v>1404271987</v>
      </c>
      <c r="D8190">
        <v>0</v>
      </c>
    </row>
    <row r="8191" spans="1:4" hidden="1" x14ac:dyDescent="0.25">
      <c r="A8191" t="s">
        <v>684</v>
      </c>
      <c r="B8191" t="s">
        <v>46</v>
      </c>
      <c r="C8191" s="2">
        <f>HYPERLINK("https://sao.dolgi.msk.ru/account/1404272859/", 1404272859)</f>
        <v>1404272859</v>
      </c>
      <c r="D8191">
        <v>-4249.83</v>
      </c>
    </row>
    <row r="8192" spans="1:4" x14ac:dyDescent="0.25">
      <c r="A8192" t="s">
        <v>684</v>
      </c>
      <c r="B8192" t="s">
        <v>47</v>
      </c>
      <c r="C8192" s="2">
        <f>HYPERLINK("https://sao.dolgi.msk.ru/account/1404271469/", 1404271469)</f>
        <v>1404271469</v>
      </c>
      <c r="D8192">
        <v>11594.05</v>
      </c>
    </row>
    <row r="8193" spans="1:4" hidden="1" x14ac:dyDescent="0.25">
      <c r="A8193" t="s">
        <v>684</v>
      </c>
      <c r="B8193" t="s">
        <v>48</v>
      </c>
      <c r="C8193" s="2">
        <f>HYPERLINK("https://sao.dolgi.msk.ru/account/1404272568/", 1404272568)</f>
        <v>1404272568</v>
      </c>
      <c r="D8193">
        <v>0</v>
      </c>
    </row>
    <row r="8194" spans="1:4" hidden="1" x14ac:dyDescent="0.25">
      <c r="A8194" t="s">
        <v>684</v>
      </c>
      <c r="B8194" t="s">
        <v>49</v>
      </c>
      <c r="C8194" s="2">
        <f>HYPERLINK("https://sao.dolgi.msk.ru/account/1404272744/", 1404272744)</f>
        <v>1404272744</v>
      </c>
      <c r="D8194">
        <v>-7208.15</v>
      </c>
    </row>
    <row r="8195" spans="1:4" hidden="1" x14ac:dyDescent="0.25">
      <c r="A8195" t="s">
        <v>684</v>
      </c>
      <c r="B8195" t="s">
        <v>50</v>
      </c>
      <c r="C8195" s="2">
        <f>HYPERLINK("https://sao.dolgi.msk.ru/account/1404272306/", 1404272306)</f>
        <v>1404272306</v>
      </c>
      <c r="D8195">
        <v>-2214.56</v>
      </c>
    </row>
    <row r="8196" spans="1:4" hidden="1" x14ac:dyDescent="0.25">
      <c r="A8196" t="s">
        <v>684</v>
      </c>
      <c r="B8196" t="s">
        <v>51</v>
      </c>
      <c r="C8196" s="2">
        <f>HYPERLINK("https://sao.dolgi.msk.ru/account/1404272242/", 1404272242)</f>
        <v>1404272242</v>
      </c>
      <c r="D8196">
        <v>0</v>
      </c>
    </row>
    <row r="8197" spans="1:4" hidden="1" x14ac:dyDescent="0.25">
      <c r="A8197" t="s">
        <v>684</v>
      </c>
      <c r="B8197" t="s">
        <v>52</v>
      </c>
      <c r="C8197" s="2">
        <f>HYPERLINK("https://sao.dolgi.msk.ru/account/1404271995/", 1404271995)</f>
        <v>1404271995</v>
      </c>
      <c r="D8197">
        <v>-8428.02</v>
      </c>
    </row>
    <row r="8198" spans="1:4" hidden="1" x14ac:dyDescent="0.25">
      <c r="A8198" t="s">
        <v>684</v>
      </c>
      <c r="B8198" t="s">
        <v>53</v>
      </c>
      <c r="C8198" s="2">
        <f>HYPERLINK("https://sao.dolgi.msk.ru/account/1404272314/", 1404272314)</f>
        <v>1404272314</v>
      </c>
      <c r="D8198">
        <v>0</v>
      </c>
    </row>
    <row r="8199" spans="1:4" hidden="1" x14ac:dyDescent="0.25">
      <c r="A8199" t="s">
        <v>684</v>
      </c>
      <c r="B8199" t="s">
        <v>54</v>
      </c>
      <c r="C8199" s="2">
        <f>HYPERLINK("https://sao.dolgi.msk.ru/account/1404272699/", 1404272699)</f>
        <v>1404272699</v>
      </c>
      <c r="D8199">
        <v>-4288.72</v>
      </c>
    </row>
    <row r="8200" spans="1:4" hidden="1" x14ac:dyDescent="0.25">
      <c r="A8200" t="s">
        <v>684</v>
      </c>
      <c r="B8200" t="s">
        <v>55</v>
      </c>
      <c r="C8200" s="2">
        <f>HYPERLINK("https://sao.dolgi.msk.ru/account/1404272605/", 1404272605)</f>
        <v>1404272605</v>
      </c>
      <c r="D8200">
        <v>-6579.51</v>
      </c>
    </row>
    <row r="8201" spans="1:4" hidden="1" x14ac:dyDescent="0.25">
      <c r="A8201" t="s">
        <v>684</v>
      </c>
      <c r="B8201" t="s">
        <v>56</v>
      </c>
      <c r="C8201" s="2">
        <f>HYPERLINK("https://sao.dolgi.msk.ru/account/1404271696/", 1404271696)</f>
        <v>1404271696</v>
      </c>
      <c r="D8201">
        <v>0</v>
      </c>
    </row>
    <row r="8202" spans="1:4" x14ac:dyDescent="0.25">
      <c r="A8202" t="s">
        <v>684</v>
      </c>
      <c r="B8202" t="s">
        <v>57</v>
      </c>
      <c r="C8202" s="2">
        <f>HYPERLINK("https://sao.dolgi.msk.ru/account/1404273181/", 1404273181)</f>
        <v>1404273181</v>
      </c>
      <c r="D8202">
        <v>28897.96</v>
      </c>
    </row>
    <row r="8203" spans="1:4" x14ac:dyDescent="0.25">
      <c r="A8203" t="s">
        <v>684</v>
      </c>
      <c r="B8203" t="s">
        <v>58</v>
      </c>
      <c r="C8203" s="2">
        <f>HYPERLINK("https://sao.dolgi.msk.ru/account/1404271709/", 1404271709)</f>
        <v>1404271709</v>
      </c>
      <c r="D8203">
        <v>7291.85</v>
      </c>
    </row>
    <row r="8204" spans="1:4" hidden="1" x14ac:dyDescent="0.25">
      <c r="A8204" t="s">
        <v>684</v>
      </c>
      <c r="B8204" t="s">
        <v>59</v>
      </c>
      <c r="C8204" s="2">
        <f>HYPERLINK("https://sao.dolgi.msk.ru/account/1404271856/", 1404271856)</f>
        <v>1404271856</v>
      </c>
      <c r="D8204">
        <v>-8515.43</v>
      </c>
    </row>
    <row r="8205" spans="1:4" hidden="1" x14ac:dyDescent="0.25">
      <c r="A8205" t="s">
        <v>684</v>
      </c>
      <c r="B8205" t="s">
        <v>60</v>
      </c>
      <c r="C8205" s="2">
        <f>HYPERLINK("https://sao.dolgi.msk.ru/account/1404272066/", 1404272066)</f>
        <v>1404272066</v>
      </c>
      <c r="D8205">
        <v>-4540.88</v>
      </c>
    </row>
    <row r="8206" spans="1:4" hidden="1" x14ac:dyDescent="0.25">
      <c r="A8206" t="s">
        <v>684</v>
      </c>
      <c r="B8206" t="s">
        <v>61</v>
      </c>
      <c r="C8206" s="2">
        <f>HYPERLINK("https://sao.dolgi.msk.ru/account/1404272787/", 1404272787)</f>
        <v>1404272787</v>
      </c>
      <c r="D8206">
        <v>-5823.02</v>
      </c>
    </row>
    <row r="8207" spans="1:4" x14ac:dyDescent="0.25">
      <c r="A8207" t="s">
        <v>684</v>
      </c>
      <c r="B8207" t="s">
        <v>62</v>
      </c>
      <c r="C8207" s="2">
        <f>HYPERLINK("https://sao.dolgi.msk.ru/account/1404272592/", 1404272592)</f>
        <v>1404272592</v>
      </c>
      <c r="D8207">
        <v>12500.99</v>
      </c>
    </row>
    <row r="8208" spans="1:4" x14ac:dyDescent="0.25">
      <c r="A8208" t="s">
        <v>684</v>
      </c>
      <c r="B8208" t="s">
        <v>63</v>
      </c>
      <c r="C8208" s="2">
        <f>HYPERLINK("https://sao.dolgi.msk.ru/account/1404272795/", 1404272795)</f>
        <v>1404272795</v>
      </c>
      <c r="D8208">
        <v>25179.91</v>
      </c>
    </row>
    <row r="8209" spans="1:4" x14ac:dyDescent="0.25">
      <c r="A8209" t="s">
        <v>684</v>
      </c>
      <c r="B8209" t="s">
        <v>64</v>
      </c>
      <c r="C8209" s="2">
        <f>HYPERLINK("https://sao.dolgi.msk.ru/account/1404272154/", 1404272154)</f>
        <v>1404272154</v>
      </c>
      <c r="D8209">
        <v>2581.16</v>
      </c>
    </row>
    <row r="8210" spans="1:4" x14ac:dyDescent="0.25">
      <c r="A8210" t="s">
        <v>684</v>
      </c>
      <c r="B8210" t="s">
        <v>65</v>
      </c>
      <c r="C8210" s="2">
        <f>HYPERLINK("https://sao.dolgi.msk.ru/account/1404272509/", 1404272509)</f>
        <v>1404272509</v>
      </c>
      <c r="D8210">
        <v>25606.25</v>
      </c>
    </row>
    <row r="8211" spans="1:4" hidden="1" x14ac:dyDescent="0.25">
      <c r="A8211" t="s">
        <v>684</v>
      </c>
      <c r="B8211" t="s">
        <v>66</v>
      </c>
      <c r="C8211" s="2">
        <f>HYPERLINK("https://sao.dolgi.msk.ru/account/1404271549/", 1404271549)</f>
        <v>1404271549</v>
      </c>
      <c r="D8211">
        <v>-5647.29</v>
      </c>
    </row>
    <row r="8212" spans="1:4" hidden="1" x14ac:dyDescent="0.25">
      <c r="A8212" t="s">
        <v>684</v>
      </c>
      <c r="B8212" t="s">
        <v>67</v>
      </c>
      <c r="C8212" s="2">
        <f>HYPERLINK("https://sao.dolgi.msk.ru/account/1404271557/", 1404271557)</f>
        <v>1404271557</v>
      </c>
      <c r="D8212">
        <v>-6377.71</v>
      </c>
    </row>
    <row r="8213" spans="1:4" hidden="1" x14ac:dyDescent="0.25">
      <c r="A8213" t="s">
        <v>684</v>
      </c>
      <c r="B8213" t="s">
        <v>68</v>
      </c>
      <c r="C8213" s="2">
        <f>HYPERLINK("https://sao.dolgi.msk.ru/account/1404271864/", 1404271864)</f>
        <v>1404271864</v>
      </c>
      <c r="D8213">
        <v>-4956.09</v>
      </c>
    </row>
    <row r="8214" spans="1:4" hidden="1" x14ac:dyDescent="0.25">
      <c r="A8214" t="s">
        <v>684</v>
      </c>
      <c r="B8214" t="s">
        <v>69</v>
      </c>
      <c r="C8214" s="2">
        <f>HYPERLINK("https://sao.dolgi.msk.ru/account/1404271784/", 1404271784)</f>
        <v>1404271784</v>
      </c>
      <c r="D8214">
        <v>-9166.25</v>
      </c>
    </row>
    <row r="8215" spans="1:4" hidden="1" x14ac:dyDescent="0.25">
      <c r="A8215" t="s">
        <v>684</v>
      </c>
      <c r="B8215" t="s">
        <v>70</v>
      </c>
      <c r="C8215" s="2">
        <f>HYPERLINK("https://sao.dolgi.msk.ru/account/1404272541/", 1404272541)</f>
        <v>1404272541</v>
      </c>
      <c r="D8215">
        <v>-222.91</v>
      </c>
    </row>
    <row r="8216" spans="1:4" hidden="1" x14ac:dyDescent="0.25">
      <c r="A8216" t="s">
        <v>684</v>
      </c>
      <c r="B8216" t="s">
        <v>71</v>
      </c>
      <c r="C8216" s="2">
        <f>HYPERLINK("https://sao.dolgi.msk.ru/account/1404273042/", 1404273042)</f>
        <v>1404273042</v>
      </c>
      <c r="D8216">
        <v>0</v>
      </c>
    </row>
    <row r="8217" spans="1:4" hidden="1" x14ac:dyDescent="0.25">
      <c r="A8217" t="s">
        <v>684</v>
      </c>
      <c r="B8217" t="s">
        <v>72</v>
      </c>
      <c r="C8217" s="2">
        <f>HYPERLINK("https://sao.dolgi.msk.ru/account/1404272867/", 1404272867)</f>
        <v>1404272867</v>
      </c>
      <c r="D8217">
        <v>0</v>
      </c>
    </row>
    <row r="8218" spans="1:4" hidden="1" x14ac:dyDescent="0.25">
      <c r="A8218" t="s">
        <v>684</v>
      </c>
      <c r="B8218" t="s">
        <v>73</v>
      </c>
      <c r="C8218" s="2">
        <f>HYPERLINK("https://sao.dolgi.msk.ru/account/1404271477/", 1404271477)</f>
        <v>1404271477</v>
      </c>
      <c r="D8218">
        <v>-4370.6400000000003</v>
      </c>
    </row>
    <row r="8219" spans="1:4" x14ac:dyDescent="0.25">
      <c r="A8219" t="s">
        <v>684</v>
      </c>
      <c r="B8219" t="s">
        <v>74</v>
      </c>
      <c r="C8219" s="2">
        <f>HYPERLINK("https://sao.dolgi.msk.ru/account/1404271792/", 1404271792)</f>
        <v>1404271792</v>
      </c>
      <c r="D8219">
        <v>888.92</v>
      </c>
    </row>
    <row r="8220" spans="1:4" hidden="1" x14ac:dyDescent="0.25">
      <c r="A8220" t="s">
        <v>684</v>
      </c>
      <c r="B8220" t="s">
        <v>75</v>
      </c>
      <c r="C8220" s="2">
        <f>HYPERLINK("https://sao.dolgi.msk.ru/account/1404271485/", 1404271485)</f>
        <v>1404271485</v>
      </c>
      <c r="D8220">
        <v>-7906.61</v>
      </c>
    </row>
    <row r="8221" spans="1:4" hidden="1" x14ac:dyDescent="0.25">
      <c r="A8221" t="s">
        <v>684</v>
      </c>
      <c r="B8221" t="s">
        <v>76</v>
      </c>
      <c r="C8221" s="2">
        <f>HYPERLINK("https://sao.dolgi.msk.ru/account/1404272875/", 1404272875)</f>
        <v>1404272875</v>
      </c>
      <c r="D8221">
        <v>-6505.11</v>
      </c>
    </row>
    <row r="8222" spans="1:4" hidden="1" x14ac:dyDescent="0.25">
      <c r="A8222" t="s">
        <v>684</v>
      </c>
      <c r="B8222" t="s">
        <v>77</v>
      </c>
      <c r="C8222" s="2">
        <f>HYPERLINK("https://sao.dolgi.msk.ru/account/1404272947/", 1404272947)</f>
        <v>1404272947</v>
      </c>
      <c r="D8222">
        <v>-6624.59</v>
      </c>
    </row>
    <row r="8223" spans="1:4" hidden="1" x14ac:dyDescent="0.25">
      <c r="A8223" t="s">
        <v>684</v>
      </c>
      <c r="B8223" t="s">
        <v>78</v>
      </c>
      <c r="C8223" s="2">
        <f>HYPERLINK("https://sao.dolgi.msk.ru/account/1404271688/", 1404271688)</f>
        <v>1404271688</v>
      </c>
      <c r="D8223">
        <v>-4175.75</v>
      </c>
    </row>
    <row r="8224" spans="1:4" hidden="1" x14ac:dyDescent="0.25">
      <c r="A8224" t="s">
        <v>684</v>
      </c>
      <c r="B8224" t="s">
        <v>79</v>
      </c>
      <c r="C8224" s="2">
        <f>HYPERLINK("https://sao.dolgi.msk.ru/account/1404272955/", 1404272955)</f>
        <v>1404272955</v>
      </c>
      <c r="D8224">
        <v>0</v>
      </c>
    </row>
    <row r="8225" spans="1:4" hidden="1" x14ac:dyDescent="0.25">
      <c r="A8225" t="s">
        <v>684</v>
      </c>
      <c r="B8225" t="s">
        <v>80</v>
      </c>
      <c r="C8225" s="2">
        <f>HYPERLINK("https://sao.dolgi.msk.ru/account/1404273165/", 1404273165)</f>
        <v>1404273165</v>
      </c>
      <c r="D8225">
        <v>0</v>
      </c>
    </row>
    <row r="8226" spans="1:4" hidden="1" x14ac:dyDescent="0.25">
      <c r="A8226" t="s">
        <v>684</v>
      </c>
      <c r="B8226" t="s">
        <v>81</v>
      </c>
      <c r="C8226" s="2">
        <f>HYPERLINK("https://sao.dolgi.msk.ru/account/1404272912/", 1404272912)</f>
        <v>1404272912</v>
      </c>
      <c r="D8226">
        <v>-6938.58</v>
      </c>
    </row>
    <row r="8227" spans="1:4" hidden="1" x14ac:dyDescent="0.25">
      <c r="A8227" t="s">
        <v>684</v>
      </c>
      <c r="B8227" t="s">
        <v>82</v>
      </c>
      <c r="C8227" s="2">
        <f>HYPERLINK("https://sao.dolgi.msk.ru/account/1404272445/", 1404272445)</f>
        <v>1404272445</v>
      </c>
      <c r="D8227">
        <v>0</v>
      </c>
    </row>
    <row r="8228" spans="1:4" hidden="1" x14ac:dyDescent="0.25">
      <c r="A8228" t="s">
        <v>684</v>
      </c>
      <c r="B8228" t="s">
        <v>83</v>
      </c>
      <c r="C8228" s="2">
        <f>HYPERLINK("https://sao.dolgi.msk.ru/account/1404271901/", 1404271901)</f>
        <v>1404271901</v>
      </c>
      <c r="D8228">
        <v>-7205.14</v>
      </c>
    </row>
    <row r="8229" spans="1:4" hidden="1" x14ac:dyDescent="0.25">
      <c r="A8229" t="s">
        <v>684</v>
      </c>
      <c r="B8229" t="s">
        <v>84</v>
      </c>
      <c r="C8229" s="2">
        <f>HYPERLINK("https://sao.dolgi.msk.ru/account/1404272672/", 1404272672)</f>
        <v>1404272672</v>
      </c>
      <c r="D8229">
        <v>-6541.92</v>
      </c>
    </row>
    <row r="8230" spans="1:4" hidden="1" x14ac:dyDescent="0.25">
      <c r="A8230" t="s">
        <v>684</v>
      </c>
      <c r="B8230" t="s">
        <v>85</v>
      </c>
      <c r="C8230" s="2">
        <f>HYPERLINK("https://sao.dolgi.msk.ru/account/1404271936/", 1404271936)</f>
        <v>1404271936</v>
      </c>
      <c r="D8230">
        <v>-3690.97</v>
      </c>
    </row>
    <row r="8231" spans="1:4" hidden="1" x14ac:dyDescent="0.25">
      <c r="A8231" t="s">
        <v>684</v>
      </c>
      <c r="B8231" t="s">
        <v>86</v>
      </c>
      <c r="C8231" s="2">
        <f>HYPERLINK("https://sao.dolgi.msk.ru/account/1404271928/", 1404271928)</f>
        <v>1404271928</v>
      </c>
      <c r="D8231">
        <v>-5917.01</v>
      </c>
    </row>
    <row r="8232" spans="1:4" hidden="1" x14ac:dyDescent="0.25">
      <c r="A8232" t="s">
        <v>684</v>
      </c>
      <c r="B8232" t="s">
        <v>87</v>
      </c>
      <c r="C8232" s="2">
        <f>HYPERLINK("https://sao.dolgi.msk.ru/account/1404272402/", 1404272402)</f>
        <v>1404272402</v>
      </c>
      <c r="D8232">
        <v>-6600.54</v>
      </c>
    </row>
    <row r="8233" spans="1:4" hidden="1" x14ac:dyDescent="0.25">
      <c r="A8233" t="s">
        <v>684</v>
      </c>
      <c r="B8233" t="s">
        <v>88</v>
      </c>
      <c r="C8233" s="2">
        <f>HYPERLINK("https://sao.dolgi.msk.ru/account/1404271645/", 1404271645)</f>
        <v>1404271645</v>
      </c>
      <c r="D8233">
        <v>-4818.9399999999996</v>
      </c>
    </row>
    <row r="8234" spans="1:4" hidden="1" x14ac:dyDescent="0.25">
      <c r="A8234" t="s">
        <v>684</v>
      </c>
      <c r="B8234" t="s">
        <v>89</v>
      </c>
      <c r="C8234" s="2">
        <f>HYPERLINK("https://sao.dolgi.msk.ru/account/1404272736/", 1404272736)</f>
        <v>1404272736</v>
      </c>
      <c r="D8234">
        <v>-2887.09</v>
      </c>
    </row>
    <row r="8235" spans="1:4" hidden="1" x14ac:dyDescent="0.25">
      <c r="A8235" t="s">
        <v>684</v>
      </c>
      <c r="B8235" t="s">
        <v>89</v>
      </c>
      <c r="C8235" s="2">
        <f>HYPERLINK("https://sao.dolgi.msk.ru/account/1404273069/", 1404273069)</f>
        <v>1404273069</v>
      </c>
      <c r="D8235">
        <v>-3147.09</v>
      </c>
    </row>
    <row r="8236" spans="1:4" x14ac:dyDescent="0.25">
      <c r="A8236" t="s">
        <v>684</v>
      </c>
      <c r="B8236" t="s">
        <v>90</v>
      </c>
      <c r="C8236" s="2">
        <f>HYPERLINK("https://sao.dolgi.msk.ru/account/1404271493/", 1404271493)</f>
        <v>1404271493</v>
      </c>
      <c r="D8236">
        <v>65221.54</v>
      </c>
    </row>
    <row r="8237" spans="1:4" hidden="1" x14ac:dyDescent="0.25">
      <c r="A8237" t="s">
        <v>684</v>
      </c>
      <c r="B8237" t="s">
        <v>91</v>
      </c>
      <c r="C8237" s="2">
        <f>HYPERLINK("https://sao.dolgi.msk.ru/account/1404271805/", 1404271805)</f>
        <v>1404271805</v>
      </c>
      <c r="D8237">
        <v>0</v>
      </c>
    </row>
    <row r="8238" spans="1:4" hidden="1" x14ac:dyDescent="0.25">
      <c r="A8238" t="s">
        <v>684</v>
      </c>
      <c r="B8238" t="s">
        <v>92</v>
      </c>
      <c r="C8238" s="2">
        <f>HYPERLINK("https://sao.dolgi.msk.ru/account/1404272007/", 1404272007)</f>
        <v>1404272007</v>
      </c>
      <c r="D8238">
        <v>0</v>
      </c>
    </row>
    <row r="8239" spans="1:4" hidden="1" x14ac:dyDescent="0.25">
      <c r="A8239" t="s">
        <v>684</v>
      </c>
      <c r="B8239" t="s">
        <v>93</v>
      </c>
      <c r="C8239" s="2">
        <f>HYPERLINK("https://sao.dolgi.msk.ru/account/1404271506/", 1404271506)</f>
        <v>1404271506</v>
      </c>
      <c r="D8239">
        <v>-7028.67</v>
      </c>
    </row>
    <row r="8240" spans="1:4" hidden="1" x14ac:dyDescent="0.25">
      <c r="A8240" t="s">
        <v>684</v>
      </c>
      <c r="B8240" t="s">
        <v>94</v>
      </c>
      <c r="C8240" s="2">
        <f>HYPERLINK("https://sao.dolgi.msk.ru/account/1404271514/", 1404271514)</f>
        <v>1404271514</v>
      </c>
      <c r="D8240">
        <v>-7431.17</v>
      </c>
    </row>
    <row r="8241" spans="1:4" hidden="1" x14ac:dyDescent="0.25">
      <c r="A8241" t="s">
        <v>684</v>
      </c>
      <c r="B8241" t="s">
        <v>95</v>
      </c>
      <c r="C8241" s="2">
        <f>HYPERLINK("https://sao.dolgi.msk.ru/account/1404273077/", 1404273077)</f>
        <v>1404273077</v>
      </c>
      <c r="D8241">
        <v>-5360.61</v>
      </c>
    </row>
    <row r="8242" spans="1:4" hidden="1" x14ac:dyDescent="0.25">
      <c r="A8242" t="s">
        <v>684</v>
      </c>
      <c r="B8242" t="s">
        <v>96</v>
      </c>
      <c r="C8242" s="2">
        <f>HYPERLINK("https://sao.dolgi.msk.ru/account/1404271522/", 1404271522)</f>
        <v>1404271522</v>
      </c>
      <c r="D8242">
        <v>0</v>
      </c>
    </row>
    <row r="8243" spans="1:4" x14ac:dyDescent="0.25">
      <c r="A8243" t="s">
        <v>684</v>
      </c>
      <c r="B8243" t="s">
        <v>97</v>
      </c>
      <c r="C8243" s="2">
        <f>HYPERLINK("https://sao.dolgi.msk.ru/account/1404272015/", 1404272015)</f>
        <v>1404272015</v>
      </c>
      <c r="D8243">
        <v>24949.35</v>
      </c>
    </row>
    <row r="8244" spans="1:4" hidden="1" x14ac:dyDescent="0.25">
      <c r="A8244" t="s">
        <v>684</v>
      </c>
      <c r="B8244" t="s">
        <v>98</v>
      </c>
      <c r="C8244" s="2">
        <f>HYPERLINK("https://sao.dolgi.msk.ru/account/1404272023/", 1404272023)</f>
        <v>1404272023</v>
      </c>
      <c r="D8244">
        <v>-4000</v>
      </c>
    </row>
    <row r="8245" spans="1:4" hidden="1" x14ac:dyDescent="0.25">
      <c r="A8245" t="s">
        <v>684</v>
      </c>
      <c r="B8245" t="s">
        <v>99</v>
      </c>
      <c r="C8245" s="2">
        <f>HYPERLINK("https://sao.dolgi.msk.ru/account/1404272322/", 1404272322)</f>
        <v>1404272322</v>
      </c>
      <c r="D8245">
        <v>-6290.95</v>
      </c>
    </row>
    <row r="8246" spans="1:4" hidden="1" x14ac:dyDescent="0.25">
      <c r="A8246" t="s">
        <v>684</v>
      </c>
      <c r="B8246" t="s">
        <v>100</v>
      </c>
      <c r="C8246" s="2">
        <f>HYPERLINK("https://sao.dolgi.msk.ru/account/1404272576/", 1404272576)</f>
        <v>1404272576</v>
      </c>
      <c r="D8246">
        <v>-7552.95</v>
      </c>
    </row>
    <row r="8247" spans="1:4" hidden="1" x14ac:dyDescent="0.25">
      <c r="A8247" t="s">
        <v>684</v>
      </c>
      <c r="B8247" t="s">
        <v>101</v>
      </c>
      <c r="C8247" s="2">
        <f>HYPERLINK("https://sao.dolgi.msk.ru/account/1404271821/", 1404271821)</f>
        <v>1404271821</v>
      </c>
      <c r="D8247">
        <v>-6591.38</v>
      </c>
    </row>
    <row r="8248" spans="1:4" hidden="1" x14ac:dyDescent="0.25">
      <c r="A8248" t="s">
        <v>684</v>
      </c>
      <c r="B8248" t="s">
        <v>102</v>
      </c>
      <c r="C8248" s="2">
        <f>HYPERLINK("https://sao.dolgi.msk.ru/account/1404272031/", 1404272031)</f>
        <v>1404272031</v>
      </c>
      <c r="D8248">
        <v>-4890.57</v>
      </c>
    </row>
    <row r="8249" spans="1:4" x14ac:dyDescent="0.25">
      <c r="A8249" t="s">
        <v>684</v>
      </c>
      <c r="B8249" t="s">
        <v>103</v>
      </c>
      <c r="C8249" s="2">
        <f>HYPERLINK("https://sao.dolgi.msk.ru/account/1404272357/", 1404272357)</f>
        <v>1404272357</v>
      </c>
      <c r="D8249">
        <v>42934.8</v>
      </c>
    </row>
    <row r="8250" spans="1:4" hidden="1" x14ac:dyDescent="0.25">
      <c r="A8250" t="s">
        <v>684</v>
      </c>
      <c r="B8250" t="s">
        <v>104</v>
      </c>
      <c r="C8250" s="2">
        <f>HYPERLINK("https://sao.dolgi.msk.ru/account/1404272808/", 1404272808)</f>
        <v>1404272808</v>
      </c>
      <c r="D8250">
        <v>-6649.37</v>
      </c>
    </row>
    <row r="8251" spans="1:4" hidden="1" x14ac:dyDescent="0.25">
      <c r="A8251" t="s">
        <v>684</v>
      </c>
      <c r="B8251" t="s">
        <v>105</v>
      </c>
      <c r="C8251" s="2">
        <f>HYPERLINK("https://sao.dolgi.msk.ru/account/1404271899/", 1404271899)</f>
        <v>1404271899</v>
      </c>
      <c r="D8251">
        <v>-11937.06</v>
      </c>
    </row>
    <row r="8252" spans="1:4" hidden="1" x14ac:dyDescent="0.25">
      <c r="A8252" t="s">
        <v>684</v>
      </c>
      <c r="B8252" t="s">
        <v>106</v>
      </c>
      <c r="C8252" s="2">
        <f>HYPERLINK("https://sao.dolgi.msk.ru/account/1404272197/", 1404272197)</f>
        <v>1404272197</v>
      </c>
      <c r="D8252">
        <v>-5472.94</v>
      </c>
    </row>
    <row r="8253" spans="1:4" x14ac:dyDescent="0.25">
      <c r="A8253" t="s">
        <v>684</v>
      </c>
      <c r="B8253" t="s">
        <v>107</v>
      </c>
      <c r="C8253" s="2">
        <f>HYPERLINK("https://sao.dolgi.msk.ru/account/1404272429/", 1404272429)</f>
        <v>1404272429</v>
      </c>
      <c r="D8253">
        <v>16939.310000000001</v>
      </c>
    </row>
    <row r="8254" spans="1:4" hidden="1" x14ac:dyDescent="0.25">
      <c r="A8254" t="s">
        <v>684</v>
      </c>
      <c r="B8254" t="s">
        <v>108</v>
      </c>
      <c r="C8254" s="2">
        <f>HYPERLINK("https://sao.dolgi.msk.ru/account/1404271653/", 1404271653)</f>
        <v>1404271653</v>
      </c>
      <c r="D8254">
        <v>0</v>
      </c>
    </row>
    <row r="8255" spans="1:4" hidden="1" x14ac:dyDescent="0.25">
      <c r="A8255" t="s">
        <v>684</v>
      </c>
      <c r="B8255" t="s">
        <v>109</v>
      </c>
      <c r="C8255" s="2">
        <f>HYPERLINK("https://sao.dolgi.msk.ru/account/1404272277/", 1404272277)</f>
        <v>1404272277</v>
      </c>
      <c r="D8255">
        <v>-7649.01</v>
      </c>
    </row>
    <row r="8256" spans="1:4" hidden="1" x14ac:dyDescent="0.25">
      <c r="A8256" t="s">
        <v>684</v>
      </c>
      <c r="B8256" t="s">
        <v>110</v>
      </c>
      <c r="C8256" s="2">
        <f>HYPERLINK("https://sao.dolgi.msk.ru/account/1404272218/", 1404272218)</f>
        <v>1404272218</v>
      </c>
      <c r="D8256">
        <v>0</v>
      </c>
    </row>
    <row r="8257" spans="1:4" hidden="1" x14ac:dyDescent="0.25">
      <c r="A8257" t="s">
        <v>684</v>
      </c>
      <c r="B8257" t="s">
        <v>111</v>
      </c>
      <c r="C8257" s="2">
        <f>HYPERLINK("https://sao.dolgi.msk.ru/account/1404272664/", 1404272664)</f>
        <v>1404272664</v>
      </c>
      <c r="D8257">
        <v>0</v>
      </c>
    </row>
    <row r="8258" spans="1:4" hidden="1" x14ac:dyDescent="0.25">
      <c r="A8258" t="s">
        <v>684</v>
      </c>
      <c r="B8258" t="s">
        <v>112</v>
      </c>
      <c r="C8258" s="2">
        <f>HYPERLINK("https://sao.dolgi.msk.ru/account/1404271661/", 1404271661)</f>
        <v>1404271661</v>
      </c>
      <c r="D8258">
        <v>0</v>
      </c>
    </row>
    <row r="8259" spans="1:4" hidden="1" x14ac:dyDescent="0.25">
      <c r="A8259" t="s">
        <v>684</v>
      </c>
      <c r="B8259" t="s">
        <v>113</v>
      </c>
      <c r="C8259" s="2">
        <f>HYPERLINK("https://sao.dolgi.msk.ru/account/1404271944/", 1404271944)</f>
        <v>1404271944</v>
      </c>
      <c r="D8259">
        <v>0</v>
      </c>
    </row>
    <row r="8260" spans="1:4" hidden="1" x14ac:dyDescent="0.25">
      <c r="A8260" t="s">
        <v>684</v>
      </c>
      <c r="B8260" t="s">
        <v>114</v>
      </c>
      <c r="C8260" s="2">
        <f>HYPERLINK("https://sao.dolgi.msk.ru/account/1404271717/", 1404271717)</f>
        <v>1404271717</v>
      </c>
      <c r="D8260">
        <v>0</v>
      </c>
    </row>
    <row r="8261" spans="1:4" x14ac:dyDescent="0.25">
      <c r="A8261" t="s">
        <v>684</v>
      </c>
      <c r="B8261" t="s">
        <v>115</v>
      </c>
      <c r="C8261" s="2">
        <f>HYPERLINK("https://sao.dolgi.msk.ru/account/1404272824/", 1404272824)</f>
        <v>1404272824</v>
      </c>
      <c r="D8261">
        <v>27449.69</v>
      </c>
    </row>
    <row r="8262" spans="1:4" hidden="1" x14ac:dyDescent="0.25">
      <c r="A8262" t="s">
        <v>684</v>
      </c>
      <c r="B8262" t="s">
        <v>116</v>
      </c>
      <c r="C8262" s="2">
        <f>HYPERLINK("https://sao.dolgi.msk.ru/account/1404271725/", 1404271725)</f>
        <v>1404271725</v>
      </c>
      <c r="D8262">
        <v>0</v>
      </c>
    </row>
    <row r="8263" spans="1:4" hidden="1" x14ac:dyDescent="0.25">
      <c r="A8263" t="s">
        <v>684</v>
      </c>
      <c r="B8263" t="s">
        <v>117</v>
      </c>
      <c r="C8263" s="2">
        <f>HYPERLINK("https://sao.dolgi.msk.ru/account/1404272461/", 1404272461)</f>
        <v>1404272461</v>
      </c>
      <c r="D8263">
        <v>0</v>
      </c>
    </row>
    <row r="8264" spans="1:4" hidden="1" x14ac:dyDescent="0.25">
      <c r="A8264" t="s">
        <v>684</v>
      </c>
      <c r="B8264" t="s">
        <v>118</v>
      </c>
      <c r="C8264" s="2">
        <f>HYPERLINK("https://sao.dolgi.msk.ru/account/1404272488/", 1404272488)</f>
        <v>1404272488</v>
      </c>
      <c r="D8264">
        <v>-9341.9699999999993</v>
      </c>
    </row>
    <row r="8265" spans="1:4" hidden="1" x14ac:dyDescent="0.25">
      <c r="A8265" t="s">
        <v>684</v>
      </c>
      <c r="B8265" t="s">
        <v>119</v>
      </c>
      <c r="C8265" s="2">
        <f>HYPERLINK("https://sao.dolgi.msk.ru/account/1404272971/", 1404272971)</f>
        <v>1404272971</v>
      </c>
      <c r="D8265">
        <v>-4042.14</v>
      </c>
    </row>
    <row r="8266" spans="1:4" hidden="1" x14ac:dyDescent="0.25">
      <c r="A8266" t="s">
        <v>684</v>
      </c>
      <c r="B8266" t="s">
        <v>120</v>
      </c>
      <c r="C8266" s="2">
        <f>HYPERLINK("https://sao.dolgi.msk.ru/account/1404271733/", 1404271733)</f>
        <v>1404271733</v>
      </c>
      <c r="D8266">
        <v>0</v>
      </c>
    </row>
    <row r="8267" spans="1:4" hidden="1" x14ac:dyDescent="0.25">
      <c r="A8267" t="s">
        <v>684</v>
      </c>
      <c r="B8267" t="s">
        <v>121</v>
      </c>
      <c r="C8267" s="2">
        <f>HYPERLINK("https://sao.dolgi.msk.ru/account/1404272998/", 1404272998)</f>
        <v>1404272998</v>
      </c>
      <c r="D8267">
        <v>0</v>
      </c>
    </row>
    <row r="8268" spans="1:4" x14ac:dyDescent="0.25">
      <c r="A8268" t="s">
        <v>684</v>
      </c>
      <c r="B8268" t="s">
        <v>122</v>
      </c>
      <c r="C8268" s="2">
        <f>HYPERLINK("https://sao.dolgi.msk.ru/account/1404272728/", 1404272728)</f>
        <v>1404272728</v>
      </c>
      <c r="D8268">
        <v>18325.169999999998</v>
      </c>
    </row>
    <row r="8269" spans="1:4" hidden="1" x14ac:dyDescent="0.25">
      <c r="A8269" t="s">
        <v>684</v>
      </c>
      <c r="B8269" t="s">
        <v>123</v>
      </c>
      <c r="C8269" s="2">
        <f>HYPERLINK("https://sao.dolgi.msk.ru/account/1404273202/", 1404273202)</f>
        <v>1404273202</v>
      </c>
      <c r="D8269">
        <v>0</v>
      </c>
    </row>
    <row r="8270" spans="1:4" hidden="1" x14ac:dyDescent="0.25">
      <c r="A8270" t="s">
        <v>684</v>
      </c>
      <c r="B8270" t="s">
        <v>124</v>
      </c>
      <c r="C8270" s="2">
        <f>HYPERLINK("https://sao.dolgi.msk.ru/account/1404272496/", 1404272496)</f>
        <v>1404272496</v>
      </c>
      <c r="D8270">
        <v>-6565.11</v>
      </c>
    </row>
    <row r="8271" spans="1:4" hidden="1" x14ac:dyDescent="0.25">
      <c r="A8271" t="s">
        <v>684</v>
      </c>
      <c r="B8271" t="s">
        <v>125</v>
      </c>
      <c r="C8271" s="2">
        <f>HYPERLINK("https://sao.dolgi.msk.ru/account/1404273149/", 1404273149)</f>
        <v>1404273149</v>
      </c>
      <c r="D8271">
        <v>0</v>
      </c>
    </row>
    <row r="8272" spans="1:4" x14ac:dyDescent="0.25">
      <c r="A8272" t="s">
        <v>684</v>
      </c>
      <c r="B8272" t="s">
        <v>126</v>
      </c>
      <c r="C8272" s="2">
        <f>HYPERLINK("https://sao.dolgi.msk.ru/account/1404272381/", 1404272381)</f>
        <v>1404272381</v>
      </c>
      <c r="D8272">
        <v>15901.6</v>
      </c>
    </row>
    <row r="8273" spans="1:4" hidden="1" x14ac:dyDescent="0.25">
      <c r="A8273" t="s">
        <v>684</v>
      </c>
      <c r="B8273" t="s">
        <v>127</v>
      </c>
      <c r="C8273" s="2">
        <f>HYPERLINK("https://sao.dolgi.msk.ru/account/1404272891/", 1404272891)</f>
        <v>1404272891</v>
      </c>
      <c r="D8273">
        <v>-9770.1</v>
      </c>
    </row>
    <row r="8274" spans="1:4" hidden="1" x14ac:dyDescent="0.25">
      <c r="A8274" t="s">
        <v>684</v>
      </c>
      <c r="B8274" t="s">
        <v>128</v>
      </c>
      <c r="C8274" s="2">
        <f>HYPERLINK("https://sao.dolgi.msk.ru/account/1404272904/", 1404272904)</f>
        <v>1404272904</v>
      </c>
      <c r="D8274">
        <v>0</v>
      </c>
    </row>
    <row r="8275" spans="1:4" x14ac:dyDescent="0.25">
      <c r="A8275" t="s">
        <v>684</v>
      </c>
      <c r="B8275" t="s">
        <v>129</v>
      </c>
      <c r="C8275" s="2">
        <f>HYPERLINK("https://sao.dolgi.msk.ru/account/1404271637/", 1404271637)</f>
        <v>1404271637</v>
      </c>
      <c r="D8275">
        <v>13779.61</v>
      </c>
    </row>
    <row r="8276" spans="1:4" hidden="1" x14ac:dyDescent="0.25">
      <c r="A8276" t="s">
        <v>684</v>
      </c>
      <c r="B8276" t="s">
        <v>130</v>
      </c>
      <c r="C8276" s="2">
        <f>HYPERLINK("https://sao.dolgi.msk.ru/account/1404273157/", 1404273157)</f>
        <v>1404273157</v>
      </c>
      <c r="D8276">
        <v>-9194</v>
      </c>
    </row>
    <row r="8277" spans="1:4" hidden="1" x14ac:dyDescent="0.25">
      <c r="A8277" t="s">
        <v>684</v>
      </c>
      <c r="B8277" t="s">
        <v>131</v>
      </c>
      <c r="C8277" s="2">
        <f>HYPERLINK("https://sao.dolgi.msk.ru/account/1404272613/", 1404272613)</f>
        <v>1404272613</v>
      </c>
      <c r="D8277">
        <v>0</v>
      </c>
    </row>
    <row r="8278" spans="1:4" hidden="1" x14ac:dyDescent="0.25">
      <c r="A8278" t="s">
        <v>684</v>
      </c>
      <c r="B8278" t="s">
        <v>132</v>
      </c>
      <c r="C8278" s="2">
        <f>HYPERLINK("https://sao.dolgi.msk.ru/account/1404273085/", 1404273085)</f>
        <v>1404273085</v>
      </c>
      <c r="D8278">
        <v>-424.54</v>
      </c>
    </row>
    <row r="8279" spans="1:4" hidden="1" x14ac:dyDescent="0.25">
      <c r="A8279" t="s">
        <v>684</v>
      </c>
      <c r="B8279" t="s">
        <v>133</v>
      </c>
      <c r="C8279" s="2">
        <f>HYPERLINK("https://sao.dolgi.msk.ru/account/1404271602/", 1404271602)</f>
        <v>1404271602</v>
      </c>
      <c r="D8279">
        <v>0</v>
      </c>
    </row>
    <row r="8280" spans="1:4" hidden="1" x14ac:dyDescent="0.25">
      <c r="A8280" t="s">
        <v>684</v>
      </c>
      <c r="B8280" t="s">
        <v>134</v>
      </c>
      <c r="C8280" s="2">
        <f>HYPERLINK("https://sao.dolgi.msk.ru/account/1404271872/", 1404271872)</f>
        <v>1404271872</v>
      </c>
      <c r="D8280">
        <v>-11329.14</v>
      </c>
    </row>
    <row r="8281" spans="1:4" hidden="1" x14ac:dyDescent="0.25">
      <c r="A8281" t="s">
        <v>684</v>
      </c>
      <c r="B8281" t="s">
        <v>135</v>
      </c>
      <c r="C8281" s="2">
        <f>HYPERLINK("https://sao.dolgi.msk.ru/account/1404272648/", 1404272648)</f>
        <v>1404272648</v>
      </c>
      <c r="D8281">
        <v>-4867.8599999999997</v>
      </c>
    </row>
    <row r="8282" spans="1:4" hidden="1" x14ac:dyDescent="0.25">
      <c r="A8282" t="s">
        <v>684</v>
      </c>
      <c r="B8282" t="s">
        <v>136</v>
      </c>
      <c r="C8282" s="2">
        <f>HYPERLINK("https://sao.dolgi.msk.ru/account/1404272103/", 1404272103)</f>
        <v>1404272103</v>
      </c>
      <c r="D8282">
        <v>-8890.2099999999991</v>
      </c>
    </row>
    <row r="8283" spans="1:4" hidden="1" x14ac:dyDescent="0.25">
      <c r="A8283" t="s">
        <v>684</v>
      </c>
      <c r="B8283" t="s">
        <v>137</v>
      </c>
      <c r="C8283" s="2">
        <f>HYPERLINK("https://sao.dolgi.msk.ru/account/1404271629/", 1404271629)</f>
        <v>1404271629</v>
      </c>
      <c r="D8283">
        <v>0</v>
      </c>
    </row>
    <row r="8284" spans="1:4" hidden="1" x14ac:dyDescent="0.25">
      <c r="A8284" t="s">
        <v>684</v>
      </c>
      <c r="B8284" t="s">
        <v>138</v>
      </c>
      <c r="C8284" s="2">
        <f>HYPERLINK("https://sao.dolgi.msk.ru/account/1404272373/", 1404272373)</f>
        <v>1404272373</v>
      </c>
      <c r="D8284">
        <v>0</v>
      </c>
    </row>
    <row r="8285" spans="1:4" hidden="1" x14ac:dyDescent="0.25">
      <c r="A8285" t="s">
        <v>684</v>
      </c>
      <c r="B8285" t="s">
        <v>139</v>
      </c>
      <c r="C8285" s="2">
        <f>HYPERLINK("https://sao.dolgi.msk.ru/account/1404272111/", 1404272111)</f>
        <v>1404272111</v>
      </c>
      <c r="D8285">
        <v>-7826.37</v>
      </c>
    </row>
    <row r="8286" spans="1:4" hidden="1" x14ac:dyDescent="0.25">
      <c r="A8286" t="s">
        <v>684</v>
      </c>
      <c r="B8286" t="s">
        <v>140</v>
      </c>
      <c r="C8286" s="2">
        <f>HYPERLINK("https://sao.dolgi.msk.ru/account/1404273106/", 1404273106)</f>
        <v>1404273106</v>
      </c>
      <c r="D8286">
        <v>0</v>
      </c>
    </row>
    <row r="8287" spans="1:4" hidden="1" x14ac:dyDescent="0.25">
      <c r="A8287" t="s">
        <v>684</v>
      </c>
      <c r="B8287" t="s">
        <v>141</v>
      </c>
      <c r="C8287" s="2">
        <f>HYPERLINK("https://sao.dolgi.msk.ru/account/1404272138/", 1404272138)</f>
        <v>1404272138</v>
      </c>
      <c r="D8287">
        <v>-4341.1099999999997</v>
      </c>
    </row>
    <row r="8288" spans="1:4" hidden="1" x14ac:dyDescent="0.25">
      <c r="A8288" t="s">
        <v>684</v>
      </c>
      <c r="B8288" t="s">
        <v>142</v>
      </c>
      <c r="C8288" s="2">
        <f>HYPERLINK("https://sao.dolgi.msk.ru/account/1404273114/", 1404273114)</f>
        <v>1404273114</v>
      </c>
      <c r="D8288">
        <v>0</v>
      </c>
    </row>
    <row r="8289" spans="1:4" hidden="1" x14ac:dyDescent="0.25">
      <c r="A8289" t="s">
        <v>684</v>
      </c>
      <c r="B8289" t="s">
        <v>143</v>
      </c>
      <c r="C8289" s="2">
        <f>HYPERLINK("https://sao.dolgi.msk.ru/account/1404273229/", 1404273229)</f>
        <v>1404273229</v>
      </c>
      <c r="D8289">
        <v>-7139.78</v>
      </c>
    </row>
    <row r="8290" spans="1:4" hidden="1" x14ac:dyDescent="0.25">
      <c r="A8290" t="s">
        <v>684</v>
      </c>
      <c r="B8290" t="s">
        <v>144</v>
      </c>
      <c r="C8290" s="2">
        <f>HYPERLINK("https://sao.dolgi.msk.ru/account/1404271741/", 1404271741)</f>
        <v>1404271741</v>
      </c>
      <c r="D8290">
        <v>-6810.07</v>
      </c>
    </row>
    <row r="8291" spans="1:4" hidden="1" x14ac:dyDescent="0.25">
      <c r="A8291" t="s">
        <v>684</v>
      </c>
      <c r="B8291" t="s">
        <v>145</v>
      </c>
      <c r="C8291" s="2">
        <f>HYPERLINK("https://sao.dolgi.msk.ru/account/1404271768/", 1404271768)</f>
        <v>1404271768</v>
      </c>
      <c r="D8291">
        <v>0</v>
      </c>
    </row>
    <row r="8292" spans="1:4" hidden="1" x14ac:dyDescent="0.25">
      <c r="A8292" t="s">
        <v>684</v>
      </c>
      <c r="B8292" t="s">
        <v>146</v>
      </c>
      <c r="C8292" s="2">
        <f>HYPERLINK("https://sao.dolgi.msk.ru/account/1404273026/", 1404273026)</f>
        <v>1404273026</v>
      </c>
      <c r="D8292">
        <v>-6089.67</v>
      </c>
    </row>
    <row r="8293" spans="1:4" hidden="1" x14ac:dyDescent="0.25">
      <c r="A8293" t="s">
        <v>684</v>
      </c>
      <c r="B8293" t="s">
        <v>147</v>
      </c>
      <c r="C8293" s="2">
        <f>HYPERLINK("https://sao.dolgi.msk.ru/account/1404272269/", 1404272269)</f>
        <v>1404272269</v>
      </c>
      <c r="D8293">
        <v>-5251.33</v>
      </c>
    </row>
    <row r="8294" spans="1:4" hidden="1" x14ac:dyDescent="0.25">
      <c r="A8294" t="s">
        <v>684</v>
      </c>
      <c r="B8294" t="s">
        <v>148</v>
      </c>
      <c r="C8294" s="2">
        <f>HYPERLINK("https://sao.dolgi.msk.ru/account/1404272293/", 1404272293)</f>
        <v>1404272293</v>
      </c>
      <c r="D8294">
        <v>0</v>
      </c>
    </row>
    <row r="8295" spans="1:4" hidden="1" x14ac:dyDescent="0.25">
      <c r="A8295" t="s">
        <v>684</v>
      </c>
      <c r="B8295" t="s">
        <v>149</v>
      </c>
      <c r="C8295" s="2">
        <f>HYPERLINK("https://sao.dolgi.msk.ru/account/1404273034/", 1404273034)</f>
        <v>1404273034</v>
      </c>
      <c r="D8295">
        <v>-8756.32</v>
      </c>
    </row>
    <row r="8296" spans="1:4" x14ac:dyDescent="0.25">
      <c r="A8296" t="s">
        <v>684</v>
      </c>
      <c r="B8296" t="s">
        <v>150</v>
      </c>
      <c r="C8296" s="2">
        <f>HYPERLINK("https://sao.dolgi.msk.ru/account/1404271434/", 1404271434)</f>
        <v>1404271434</v>
      </c>
      <c r="D8296">
        <v>20490.23</v>
      </c>
    </row>
    <row r="8297" spans="1:4" x14ac:dyDescent="0.25">
      <c r="A8297" t="s">
        <v>684</v>
      </c>
      <c r="B8297" t="s">
        <v>151</v>
      </c>
      <c r="C8297" s="2">
        <f>HYPERLINK("https://sao.dolgi.msk.ru/account/1404271442/", 1404271442)</f>
        <v>1404271442</v>
      </c>
      <c r="D8297">
        <v>10356.120000000001</v>
      </c>
    </row>
    <row r="8298" spans="1:4" hidden="1" x14ac:dyDescent="0.25">
      <c r="A8298" t="s">
        <v>685</v>
      </c>
      <c r="B8298" t="s">
        <v>5</v>
      </c>
      <c r="C8298" s="2">
        <f>HYPERLINK("https://sao.dolgi.msk.ru/account/1404174626/", 1404174626)</f>
        <v>1404174626</v>
      </c>
      <c r="D8298">
        <v>-7060.94</v>
      </c>
    </row>
    <row r="8299" spans="1:4" hidden="1" x14ac:dyDescent="0.25">
      <c r="A8299" t="s">
        <v>685</v>
      </c>
      <c r="B8299" t="s">
        <v>6</v>
      </c>
      <c r="C8299" s="2">
        <f>HYPERLINK("https://sao.dolgi.msk.ru/account/1404171476/", 1404171476)</f>
        <v>1404171476</v>
      </c>
      <c r="D8299">
        <v>-6745.4</v>
      </c>
    </row>
    <row r="8300" spans="1:4" x14ac:dyDescent="0.25">
      <c r="A8300" t="s">
        <v>685</v>
      </c>
      <c r="B8300" t="s">
        <v>7</v>
      </c>
      <c r="C8300" s="2">
        <f>HYPERLINK("https://sao.dolgi.msk.ru/account/1404174124/", 1404174124)</f>
        <v>1404174124</v>
      </c>
      <c r="D8300">
        <v>9036.86</v>
      </c>
    </row>
    <row r="8301" spans="1:4" hidden="1" x14ac:dyDescent="0.25">
      <c r="A8301" t="s">
        <v>685</v>
      </c>
      <c r="B8301" t="s">
        <v>8</v>
      </c>
      <c r="C8301" s="2">
        <f>HYPERLINK("https://sao.dolgi.msk.ru/account/1404171599/", 1404171599)</f>
        <v>1404171599</v>
      </c>
      <c r="D8301">
        <v>-6351</v>
      </c>
    </row>
    <row r="8302" spans="1:4" x14ac:dyDescent="0.25">
      <c r="A8302" t="s">
        <v>685</v>
      </c>
      <c r="B8302" t="s">
        <v>9</v>
      </c>
      <c r="C8302" s="2">
        <f>HYPERLINK("https://sao.dolgi.msk.ru/account/1404174052/", 1404174052)</f>
        <v>1404174052</v>
      </c>
      <c r="D8302">
        <v>8972.17</v>
      </c>
    </row>
    <row r="8303" spans="1:4" x14ac:dyDescent="0.25">
      <c r="A8303" t="s">
        <v>685</v>
      </c>
      <c r="B8303" t="s">
        <v>10</v>
      </c>
      <c r="C8303" s="2">
        <f>HYPERLINK("https://sao.dolgi.msk.ru/account/1404174087/", 1404174087)</f>
        <v>1404174087</v>
      </c>
      <c r="D8303">
        <v>21040.1</v>
      </c>
    </row>
    <row r="8304" spans="1:4" hidden="1" x14ac:dyDescent="0.25">
      <c r="A8304" t="s">
        <v>685</v>
      </c>
      <c r="B8304" t="s">
        <v>11</v>
      </c>
      <c r="C8304" s="2">
        <f>HYPERLINK("https://sao.dolgi.msk.ru/account/1404174407/", 1404174407)</f>
        <v>1404174407</v>
      </c>
      <c r="D8304">
        <v>0</v>
      </c>
    </row>
    <row r="8305" spans="1:4" hidden="1" x14ac:dyDescent="0.25">
      <c r="A8305" t="s">
        <v>685</v>
      </c>
      <c r="B8305" t="s">
        <v>12</v>
      </c>
      <c r="C8305" s="2">
        <f>HYPERLINK("https://sao.dolgi.msk.ru/account/1404174183/", 1404174183)</f>
        <v>1404174183</v>
      </c>
      <c r="D8305">
        <v>-3837.34</v>
      </c>
    </row>
    <row r="8306" spans="1:4" x14ac:dyDescent="0.25">
      <c r="A8306" t="s">
        <v>685</v>
      </c>
      <c r="B8306" t="s">
        <v>13</v>
      </c>
      <c r="C8306" s="2">
        <f>HYPERLINK("https://sao.dolgi.msk.ru/account/1404174159/", 1404174159)</f>
        <v>1404174159</v>
      </c>
      <c r="D8306">
        <v>101370.07</v>
      </c>
    </row>
    <row r="8307" spans="1:4" x14ac:dyDescent="0.25">
      <c r="A8307" t="s">
        <v>685</v>
      </c>
      <c r="B8307" t="s">
        <v>14</v>
      </c>
      <c r="C8307" s="2">
        <f>HYPERLINK("https://sao.dolgi.msk.ru/account/1404174095/", 1404174095)</f>
        <v>1404174095</v>
      </c>
      <c r="D8307">
        <v>9558.02</v>
      </c>
    </row>
    <row r="8308" spans="1:4" hidden="1" x14ac:dyDescent="0.25">
      <c r="A8308" t="s">
        <v>685</v>
      </c>
      <c r="B8308" t="s">
        <v>15</v>
      </c>
      <c r="C8308" s="2">
        <f>HYPERLINK("https://sao.dolgi.msk.ru/account/1404171724/", 1404171724)</f>
        <v>1404171724</v>
      </c>
      <c r="D8308">
        <v>0</v>
      </c>
    </row>
    <row r="8309" spans="1:4" hidden="1" x14ac:dyDescent="0.25">
      <c r="A8309" t="s">
        <v>685</v>
      </c>
      <c r="B8309" t="s">
        <v>16</v>
      </c>
      <c r="C8309" s="2">
        <f>HYPERLINK("https://sao.dolgi.msk.ru/account/1404173906/", 1404173906)</f>
        <v>1404173906</v>
      </c>
      <c r="D8309">
        <v>0</v>
      </c>
    </row>
    <row r="8310" spans="1:4" hidden="1" x14ac:dyDescent="0.25">
      <c r="A8310" t="s">
        <v>685</v>
      </c>
      <c r="B8310" t="s">
        <v>17</v>
      </c>
      <c r="C8310" s="2">
        <f>HYPERLINK("https://sao.dolgi.msk.ru/account/1404174191/", 1404174191)</f>
        <v>1404174191</v>
      </c>
      <c r="D8310">
        <v>-164.29</v>
      </c>
    </row>
    <row r="8311" spans="1:4" x14ac:dyDescent="0.25">
      <c r="A8311" t="s">
        <v>685</v>
      </c>
      <c r="B8311" t="s">
        <v>18</v>
      </c>
      <c r="C8311" s="2">
        <f>HYPERLINK("https://sao.dolgi.msk.ru/account/1404173914/", 1404173914)</f>
        <v>1404173914</v>
      </c>
      <c r="D8311">
        <v>28.55</v>
      </c>
    </row>
    <row r="8312" spans="1:4" hidden="1" x14ac:dyDescent="0.25">
      <c r="A8312" t="s">
        <v>685</v>
      </c>
      <c r="B8312" t="s">
        <v>19</v>
      </c>
      <c r="C8312" s="2">
        <f>HYPERLINK("https://sao.dolgi.msk.ru/account/1404174036/", 1404174036)</f>
        <v>1404174036</v>
      </c>
      <c r="D8312">
        <v>-9030.73</v>
      </c>
    </row>
    <row r="8313" spans="1:4" hidden="1" x14ac:dyDescent="0.25">
      <c r="A8313" t="s">
        <v>685</v>
      </c>
      <c r="B8313" t="s">
        <v>20</v>
      </c>
      <c r="C8313" s="2">
        <f>HYPERLINK("https://sao.dolgi.msk.ru/account/1404173949/", 1404173949)</f>
        <v>1404173949</v>
      </c>
      <c r="D8313">
        <v>0</v>
      </c>
    </row>
    <row r="8314" spans="1:4" hidden="1" x14ac:dyDescent="0.25">
      <c r="A8314" t="s">
        <v>685</v>
      </c>
      <c r="B8314" t="s">
        <v>21</v>
      </c>
      <c r="C8314" s="2">
        <f>HYPERLINK("https://sao.dolgi.msk.ru/account/1404174108/", 1404174108)</f>
        <v>1404174108</v>
      </c>
      <c r="D8314">
        <v>-9016.36</v>
      </c>
    </row>
    <row r="8315" spans="1:4" hidden="1" x14ac:dyDescent="0.25">
      <c r="A8315" t="s">
        <v>685</v>
      </c>
      <c r="B8315" t="s">
        <v>22</v>
      </c>
      <c r="C8315" s="2">
        <f>HYPERLINK("https://sao.dolgi.msk.ru/account/1404174167/", 1404174167)</f>
        <v>1404174167</v>
      </c>
      <c r="D8315">
        <v>-9490.57</v>
      </c>
    </row>
    <row r="8316" spans="1:4" x14ac:dyDescent="0.25">
      <c r="A8316" t="s">
        <v>685</v>
      </c>
      <c r="B8316" t="s">
        <v>23</v>
      </c>
      <c r="C8316" s="2">
        <f>HYPERLINK("https://sao.dolgi.msk.ru/account/1404173973/", 1404173973)</f>
        <v>1404173973</v>
      </c>
      <c r="D8316">
        <v>6101.17</v>
      </c>
    </row>
    <row r="8317" spans="1:4" x14ac:dyDescent="0.25">
      <c r="A8317" t="s">
        <v>685</v>
      </c>
      <c r="B8317" t="s">
        <v>23</v>
      </c>
      <c r="C8317" s="2">
        <f>HYPERLINK("https://sao.dolgi.msk.ru/account/1404293844/", 1404293844)</f>
        <v>1404293844</v>
      </c>
      <c r="D8317">
        <v>1904.81</v>
      </c>
    </row>
    <row r="8318" spans="1:4" hidden="1" x14ac:dyDescent="0.25">
      <c r="A8318" t="s">
        <v>685</v>
      </c>
      <c r="B8318" t="s">
        <v>24</v>
      </c>
      <c r="C8318" s="2">
        <f>HYPERLINK("https://sao.dolgi.msk.ru/account/1404174044/", 1404174044)</f>
        <v>1404174044</v>
      </c>
      <c r="D8318">
        <v>0</v>
      </c>
    </row>
    <row r="8319" spans="1:4" hidden="1" x14ac:dyDescent="0.25">
      <c r="A8319" t="s">
        <v>685</v>
      </c>
      <c r="B8319" t="s">
        <v>25</v>
      </c>
      <c r="C8319" s="2">
        <f>HYPERLINK("https://sao.dolgi.msk.ru/account/1404174175/", 1404174175)</f>
        <v>1404174175</v>
      </c>
      <c r="D8319">
        <v>-16225.93</v>
      </c>
    </row>
    <row r="8320" spans="1:4" hidden="1" x14ac:dyDescent="0.25">
      <c r="A8320" t="s">
        <v>685</v>
      </c>
      <c r="B8320" t="s">
        <v>26</v>
      </c>
      <c r="C8320" s="2">
        <f>HYPERLINK("https://sao.dolgi.msk.ru/account/1404174204/", 1404174204)</f>
        <v>1404174204</v>
      </c>
      <c r="D8320">
        <v>-8775.82</v>
      </c>
    </row>
    <row r="8321" spans="1:4" hidden="1" x14ac:dyDescent="0.25">
      <c r="A8321" t="s">
        <v>685</v>
      </c>
      <c r="B8321" t="s">
        <v>27</v>
      </c>
      <c r="C8321" s="2">
        <f>HYPERLINK("https://sao.dolgi.msk.ru/account/1404174116/", 1404174116)</f>
        <v>1404174116</v>
      </c>
      <c r="D8321">
        <v>0</v>
      </c>
    </row>
    <row r="8322" spans="1:4" hidden="1" x14ac:dyDescent="0.25">
      <c r="A8322" t="s">
        <v>685</v>
      </c>
      <c r="B8322" t="s">
        <v>28</v>
      </c>
      <c r="C8322" s="2">
        <f>HYPERLINK("https://sao.dolgi.msk.ru/account/1404173869/", 1404173869)</f>
        <v>1404173869</v>
      </c>
      <c r="D8322">
        <v>-7136.24</v>
      </c>
    </row>
    <row r="8323" spans="1:4" hidden="1" x14ac:dyDescent="0.25">
      <c r="A8323" t="s">
        <v>685</v>
      </c>
      <c r="B8323" t="s">
        <v>29</v>
      </c>
      <c r="C8323" s="2">
        <f>HYPERLINK("https://sao.dolgi.msk.ru/account/1404174212/", 1404174212)</f>
        <v>1404174212</v>
      </c>
      <c r="D8323">
        <v>-6943.55</v>
      </c>
    </row>
    <row r="8324" spans="1:4" hidden="1" x14ac:dyDescent="0.25">
      <c r="A8324" t="s">
        <v>685</v>
      </c>
      <c r="B8324" t="s">
        <v>30</v>
      </c>
      <c r="C8324" s="2">
        <f>HYPERLINK("https://sao.dolgi.msk.ru/account/1404174239/", 1404174239)</f>
        <v>1404174239</v>
      </c>
      <c r="D8324">
        <v>-3510.37</v>
      </c>
    </row>
    <row r="8325" spans="1:4" hidden="1" x14ac:dyDescent="0.25">
      <c r="A8325" t="s">
        <v>685</v>
      </c>
      <c r="B8325" t="s">
        <v>31</v>
      </c>
      <c r="C8325" s="2">
        <f>HYPERLINK("https://sao.dolgi.msk.ru/account/1404174028/", 1404174028)</f>
        <v>1404174028</v>
      </c>
      <c r="D8325">
        <v>0</v>
      </c>
    </row>
    <row r="8326" spans="1:4" hidden="1" x14ac:dyDescent="0.25">
      <c r="A8326" t="s">
        <v>685</v>
      </c>
      <c r="B8326" t="s">
        <v>32</v>
      </c>
      <c r="C8326" s="2">
        <f>HYPERLINK("https://sao.dolgi.msk.ru/account/1404173631/", 1404173631)</f>
        <v>1404173631</v>
      </c>
      <c r="D8326">
        <v>0</v>
      </c>
    </row>
    <row r="8327" spans="1:4" hidden="1" x14ac:dyDescent="0.25">
      <c r="A8327" t="s">
        <v>685</v>
      </c>
      <c r="B8327" t="s">
        <v>33</v>
      </c>
      <c r="C8327" s="2">
        <f>HYPERLINK("https://sao.dolgi.msk.ru/account/1404173658/", 1404173658)</f>
        <v>1404173658</v>
      </c>
      <c r="D8327">
        <v>0</v>
      </c>
    </row>
    <row r="8328" spans="1:4" x14ac:dyDescent="0.25">
      <c r="A8328" t="s">
        <v>685</v>
      </c>
      <c r="B8328" t="s">
        <v>34</v>
      </c>
      <c r="C8328" s="2">
        <f>HYPERLINK("https://sao.dolgi.msk.ru/account/1404173586/", 1404173586)</f>
        <v>1404173586</v>
      </c>
      <c r="D8328">
        <v>7484.2</v>
      </c>
    </row>
    <row r="8329" spans="1:4" x14ac:dyDescent="0.25">
      <c r="A8329" t="s">
        <v>685</v>
      </c>
      <c r="B8329" t="s">
        <v>35</v>
      </c>
      <c r="C8329" s="2">
        <f>HYPERLINK("https://sao.dolgi.msk.ru/account/1404173666/", 1404173666)</f>
        <v>1404173666</v>
      </c>
      <c r="D8329">
        <v>21776.720000000001</v>
      </c>
    </row>
    <row r="8330" spans="1:4" hidden="1" x14ac:dyDescent="0.25">
      <c r="A8330" t="s">
        <v>685</v>
      </c>
      <c r="B8330" t="s">
        <v>36</v>
      </c>
      <c r="C8330" s="2">
        <f>HYPERLINK("https://sao.dolgi.msk.ru/account/1404173551/", 1404173551)</f>
        <v>1404173551</v>
      </c>
      <c r="D8330">
        <v>0</v>
      </c>
    </row>
    <row r="8331" spans="1:4" hidden="1" x14ac:dyDescent="0.25">
      <c r="A8331" t="s">
        <v>685</v>
      </c>
      <c r="B8331" t="s">
        <v>37</v>
      </c>
      <c r="C8331" s="2">
        <f>HYPERLINK("https://sao.dolgi.msk.ru/account/1404173594/", 1404173594)</f>
        <v>1404173594</v>
      </c>
      <c r="D8331">
        <v>-10501.43</v>
      </c>
    </row>
    <row r="8332" spans="1:4" hidden="1" x14ac:dyDescent="0.25">
      <c r="A8332" t="s">
        <v>685</v>
      </c>
      <c r="B8332" t="s">
        <v>38</v>
      </c>
      <c r="C8332" s="2">
        <f>HYPERLINK("https://sao.dolgi.msk.ru/account/1404173674/", 1404173674)</f>
        <v>1404173674</v>
      </c>
      <c r="D8332">
        <v>0</v>
      </c>
    </row>
    <row r="8333" spans="1:4" hidden="1" x14ac:dyDescent="0.25">
      <c r="A8333" t="s">
        <v>685</v>
      </c>
      <c r="B8333" t="s">
        <v>39</v>
      </c>
      <c r="C8333" s="2">
        <f>HYPERLINK("https://sao.dolgi.msk.ru/account/1404173711/", 1404173711)</f>
        <v>1404173711</v>
      </c>
      <c r="D8333">
        <v>0</v>
      </c>
    </row>
    <row r="8334" spans="1:4" x14ac:dyDescent="0.25">
      <c r="A8334" t="s">
        <v>685</v>
      </c>
      <c r="B8334" t="s">
        <v>40</v>
      </c>
      <c r="C8334" s="2">
        <f>HYPERLINK("https://sao.dolgi.msk.ru/account/1404174415/", 1404174415)</f>
        <v>1404174415</v>
      </c>
      <c r="D8334">
        <v>7134.74</v>
      </c>
    </row>
    <row r="8335" spans="1:4" x14ac:dyDescent="0.25">
      <c r="A8335" t="s">
        <v>685</v>
      </c>
      <c r="B8335" t="s">
        <v>41</v>
      </c>
      <c r="C8335" s="2">
        <f>HYPERLINK("https://sao.dolgi.msk.ru/account/1404173957/", 1404173957)</f>
        <v>1404173957</v>
      </c>
      <c r="D8335">
        <v>15191.38</v>
      </c>
    </row>
    <row r="8336" spans="1:4" hidden="1" x14ac:dyDescent="0.25">
      <c r="A8336" t="s">
        <v>685</v>
      </c>
      <c r="B8336" t="s">
        <v>42</v>
      </c>
      <c r="C8336" s="2">
        <f>HYPERLINK("https://sao.dolgi.msk.ru/account/1404173842/", 1404173842)</f>
        <v>1404173842</v>
      </c>
      <c r="D8336">
        <v>-16750.740000000002</v>
      </c>
    </row>
    <row r="8337" spans="1:4" hidden="1" x14ac:dyDescent="0.25">
      <c r="A8337" t="s">
        <v>685</v>
      </c>
      <c r="B8337" t="s">
        <v>43</v>
      </c>
      <c r="C8337" s="2">
        <f>HYPERLINK("https://sao.dolgi.msk.ru/account/1404173885/", 1404173885)</f>
        <v>1404173885</v>
      </c>
      <c r="D8337">
        <v>-14519.13</v>
      </c>
    </row>
    <row r="8338" spans="1:4" hidden="1" x14ac:dyDescent="0.25">
      <c r="A8338" t="s">
        <v>685</v>
      </c>
      <c r="B8338" t="s">
        <v>44</v>
      </c>
      <c r="C8338" s="2">
        <f>HYPERLINK("https://sao.dolgi.msk.ru/account/1404173981/", 1404173981)</f>
        <v>1404173981</v>
      </c>
      <c r="D8338">
        <v>-7095.02</v>
      </c>
    </row>
    <row r="8339" spans="1:4" hidden="1" x14ac:dyDescent="0.25">
      <c r="A8339" t="s">
        <v>685</v>
      </c>
      <c r="B8339" t="s">
        <v>45</v>
      </c>
      <c r="C8339" s="2">
        <f>HYPERLINK("https://sao.dolgi.msk.ru/account/1404173607/", 1404173607)</f>
        <v>1404173607</v>
      </c>
      <c r="D8339">
        <v>-8929.1299999999992</v>
      </c>
    </row>
    <row r="8340" spans="1:4" x14ac:dyDescent="0.25">
      <c r="A8340" t="s">
        <v>685</v>
      </c>
      <c r="B8340" t="s">
        <v>46</v>
      </c>
      <c r="C8340" s="2">
        <f>HYPERLINK("https://sao.dolgi.msk.ru/account/1404173826/", 1404173826)</f>
        <v>1404173826</v>
      </c>
      <c r="D8340">
        <v>9539.6200000000008</v>
      </c>
    </row>
    <row r="8341" spans="1:4" hidden="1" x14ac:dyDescent="0.25">
      <c r="A8341" t="s">
        <v>685</v>
      </c>
      <c r="B8341" t="s">
        <v>47</v>
      </c>
      <c r="C8341" s="2">
        <f>HYPERLINK("https://sao.dolgi.msk.ru/account/1404174001/", 1404174001)</f>
        <v>1404174001</v>
      </c>
      <c r="D8341">
        <v>-2789.58</v>
      </c>
    </row>
    <row r="8342" spans="1:4" x14ac:dyDescent="0.25">
      <c r="A8342" t="s">
        <v>685</v>
      </c>
      <c r="B8342" t="s">
        <v>48</v>
      </c>
      <c r="C8342" s="2">
        <f>HYPERLINK("https://sao.dolgi.msk.ru/account/1404174079/", 1404174079)</f>
        <v>1404174079</v>
      </c>
      <c r="D8342">
        <v>15844.86</v>
      </c>
    </row>
    <row r="8343" spans="1:4" hidden="1" x14ac:dyDescent="0.25">
      <c r="A8343" t="s">
        <v>685</v>
      </c>
      <c r="B8343" t="s">
        <v>49</v>
      </c>
      <c r="C8343" s="2">
        <f>HYPERLINK("https://sao.dolgi.msk.ru/account/1404174271/", 1404174271)</f>
        <v>1404174271</v>
      </c>
      <c r="D8343">
        <v>-1080.46</v>
      </c>
    </row>
    <row r="8344" spans="1:4" hidden="1" x14ac:dyDescent="0.25">
      <c r="A8344" t="s">
        <v>685</v>
      </c>
      <c r="B8344" t="s">
        <v>50</v>
      </c>
      <c r="C8344" s="2">
        <f>HYPERLINK("https://sao.dolgi.msk.ru/account/1404174298/", 1404174298)</f>
        <v>1404174298</v>
      </c>
      <c r="D8344">
        <v>-1179.33</v>
      </c>
    </row>
    <row r="8345" spans="1:4" x14ac:dyDescent="0.25">
      <c r="A8345" t="s">
        <v>685</v>
      </c>
      <c r="B8345" t="s">
        <v>51</v>
      </c>
      <c r="C8345" s="2">
        <f>HYPERLINK("https://sao.dolgi.msk.ru/account/1404174263/", 1404174263)</f>
        <v>1404174263</v>
      </c>
      <c r="D8345">
        <v>12307.61</v>
      </c>
    </row>
    <row r="8346" spans="1:4" x14ac:dyDescent="0.25">
      <c r="A8346" t="s">
        <v>685</v>
      </c>
      <c r="B8346" t="s">
        <v>52</v>
      </c>
      <c r="C8346" s="2">
        <f>HYPERLINK("https://sao.dolgi.msk.ru/account/1404174327/", 1404174327)</f>
        <v>1404174327</v>
      </c>
      <c r="D8346">
        <v>11087.23</v>
      </c>
    </row>
    <row r="8347" spans="1:4" hidden="1" x14ac:dyDescent="0.25">
      <c r="A8347" t="s">
        <v>685</v>
      </c>
      <c r="B8347" t="s">
        <v>53</v>
      </c>
      <c r="C8347" s="2">
        <f>HYPERLINK("https://sao.dolgi.msk.ru/account/1404173893/", 1404173893)</f>
        <v>1404173893</v>
      </c>
      <c r="D8347">
        <v>-7046.72</v>
      </c>
    </row>
    <row r="8348" spans="1:4" hidden="1" x14ac:dyDescent="0.25">
      <c r="A8348" t="s">
        <v>685</v>
      </c>
      <c r="B8348" t="s">
        <v>54</v>
      </c>
      <c r="C8348" s="2">
        <f>HYPERLINK("https://sao.dolgi.msk.ru/account/1404173615/", 1404173615)</f>
        <v>1404173615</v>
      </c>
      <c r="D8348">
        <v>-5203.7700000000004</v>
      </c>
    </row>
    <row r="8349" spans="1:4" hidden="1" x14ac:dyDescent="0.25">
      <c r="A8349" t="s">
        <v>685</v>
      </c>
      <c r="B8349" t="s">
        <v>55</v>
      </c>
      <c r="C8349" s="2">
        <f>HYPERLINK("https://sao.dolgi.msk.ru/account/1404173965/", 1404173965)</f>
        <v>1404173965</v>
      </c>
      <c r="D8349">
        <v>-7566.09</v>
      </c>
    </row>
    <row r="8350" spans="1:4" x14ac:dyDescent="0.25">
      <c r="A8350" t="s">
        <v>685</v>
      </c>
      <c r="B8350" t="s">
        <v>56</v>
      </c>
      <c r="C8350" s="2">
        <f>HYPERLINK("https://sao.dolgi.msk.ru/account/1404173922/", 1404173922)</f>
        <v>1404173922</v>
      </c>
      <c r="D8350">
        <v>12282.46</v>
      </c>
    </row>
    <row r="8351" spans="1:4" hidden="1" x14ac:dyDescent="0.25">
      <c r="A8351" t="s">
        <v>685</v>
      </c>
      <c r="B8351" t="s">
        <v>57</v>
      </c>
      <c r="C8351" s="2">
        <f>HYPERLINK("https://sao.dolgi.msk.ru/account/1404173623/", 1404173623)</f>
        <v>1404173623</v>
      </c>
      <c r="D8351">
        <v>0</v>
      </c>
    </row>
    <row r="8352" spans="1:4" hidden="1" x14ac:dyDescent="0.25">
      <c r="A8352" t="s">
        <v>685</v>
      </c>
      <c r="B8352" t="s">
        <v>58</v>
      </c>
      <c r="C8352" s="2">
        <f>HYPERLINK("https://sao.dolgi.msk.ru/account/1404173148/", 1404173148)</f>
        <v>1404173148</v>
      </c>
      <c r="D8352">
        <v>0</v>
      </c>
    </row>
    <row r="8353" spans="1:4" x14ac:dyDescent="0.25">
      <c r="A8353" t="s">
        <v>685</v>
      </c>
      <c r="B8353" t="s">
        <v>59</v>
      </c>
      <c r="C8353" s="2">
        <f>HYPERLINK("https://sao.dolgi.msk.ru/account/1404173797/", 1404173797)</f>
        <v>1404173797</v>
      </c>
      <c r="D8353">
        <v>5701.89</v>
      </c>
    </row>
    <row r="8354" spans="1:4" hidden="1" x14ac:dyDescent="0.25">
      <c r="A8354" t="s">
        <v>685</v>
      </c>
      <c r="B8354" t="s">
        <v>60</v>
      </c>
      <c r="C8354" s="2">
        <f>HYPERLINK("https://sao.dolgi.msk.ru/account/1404173543/", 1404173543)</f>
        <v>1404173543</v>
      </c>
      <c r="D8354">
        <v>0</v>
      </c>
    </row>
    <row r="8355" spans="1:4" hidden="1" x14ac:dyDescent="0.25">
      <c r="A8355" t="s">
        <v>685</v>
      </c>
      <c r="B8355" t="s">
        <v>61</v>
      </c>
      <c r="C8355" s="2">
        <f>HYPERLINK("https://sao.dolgi.msk.ru/account/1404173439/", 1404173439)</f>
        <v>1404173439</v>
      </c>
      <c r="D8355">
        <v>-5633.04</v>
      </c>
    </row>
    <row r="8356" spans="1:4" x14ac:dyDescent="0.25">
      <c r="A8356" t="s">
        <v>685</v>
      </c>
      <c r="B8356" t="s">
        <v>62</v>
      </c>
      <c r="C8356" s="2">
        <f>HYPERLINK("https://sao.dolgi.msk.ru/account/1404173535/", 1404173535)</f>
        <v>1404173535</v>
      </c>
      <c r="D8356">
        <v>50001.63</v>
      </c>
    </row>
    <row r="8357" spans="1:4" hidden="1" x14ac:dyDescent="0.25">
      <c r="A8357" t="s">
        <v>685</v>
      </c>
      <c r="B8357" t="s">
        <v>63</v>
      </c>
      <c r="C8357" s="2">
        <f>HYPERLINK("https://sao.dolgi.msk.ru/account/1404173527/", 1404173527)</f>
        <v>1404173527</v>
      </c>
      <c r="D8357">
        <v>-7820.87</v>
      </c>
    </row>
    <row r="8358" spans="1:4" x14ac:dyDescent="0.25">
      <c r="A8358" t="s">
        <v>685</v>
      </c>
      <c r="B8358" t="s">
        <v>64</v>
      </c>
      <c r="C8358" s="2">
        <f>HYPERLINK("https://sao.dolgi.msk.ru/account/1404173412/", 1404173412)</f>
        <v>1404173412</v>
      </c>
      <c r="D8358">
        <v>17851.2</v>
      </c>
    </row>
    <row r="8359" spans="1:4" x14ac:dyDescent="0.25">
      <c r="A8359" t="s">
        <v>685</v>
      </c>
      <c r="B8359" t="s">
        <v>65</v>
      </c>
      <c r="C8359" s="2">
        <f>HYPERLINK("https://sao.dolgi.msk.ru/account/1404173404/", 1404173404)</f>
        <v>1404173404</v>
      </c>
      <c r="D8359">
        <v>8689.35</v>
      </c>
    </row>
    <row r="8360" spans="1:4" hidden="1" x14ac:dyDescent="0.25">
      <c r="A8360" t="s">
        <v>685</v>
      </c>
      <c r="B8360" t="s">
        <v>66</v>
      </c>
      <c r="C8360" s="2">
        <f>HYPERLINK("https://sao.dolgi.msk.ru/account/1404174335/", 1404174335)</f>
        <v>1404174335</v>
      </c>
      <c r="D8360">
        <v>-1955.3</v>
      </c>
    </row>
    <row r="8361" spans="1:4" hidden="1" x14ac:dyDescent="0.25">
      <c r="A8361" t="s">
        <v>685</v>
      </c>
      <c r="B8361" t="s">
        <v>67</v>
      </c>
      <c r="C8361" s="2">
        <f>HYPERLINK("https://sao.dolgi.msk.ru/account/1404173375/", 1404173375)</f>
        <v>1404173375</v>
      </c>
      <c r="D8361">
        <v>-83.32</v>
      </c>
    </row>
    <row r="8362" spans="1:4" hidden="1" x14ac:dyDescent="0.25">
      <c r="A8362" t="s">
        <v>685</v>
      </c>
      <c r="B8362" t="s">
        <v>68</v>
      </c>
      <c r="C8362" s="2">
        <f>HYPERLINK("https://sao.dolgi.msk.ru/account/1404173383/", 1404173383)</f>
        <v>1404173383</v>
      </c>
      <c r="D8362">
        <v>0</v>
      </c>
    </row>
    <row r="8363" spans="1:4" x14ac:dyDescent="0.25">
      <c r="A8363" t="s">
        <v>685</v>
      </c>
      <c r="B8363" t="s">
        <v>69</v>
      </c>
      <c r="C8363" s="2">
        <f>HYPERLINK("https://sao.dolgi.msk.ru/account/1404174351/", 1404174351)</f>
        <v>1404174351</v>
      </c>
      <c r="D8363">
        <v>453.65</v>
      </c>
    </row>
    <row r="8364" spans="1:4" hidden="1" x14ac:dyDescent="0.25">
      <c r="A8364" t="s">
        <v>685</v>
      </c>
      <c r="B8364" t="s">
        <v>70</v>
      </c>
      <c r="C8364" s="2">
        <f>HYPERLINK("https://sao.dolgi.msk.ru/account/1404174378/", 1404174378)</f>
        <v>1404174378</v>
      </c>
      <c r="D8364">
        <v>0</v>
      </c>
    </row>
    <row r="8365" spans="1:4" hidden="1" x14ac:dyDescent="0.25">
      <c r="A8365" t="s">
        <v>685</v>
      </c>
      <c r="B8365" t="s">
        <v>71</v>
      </c>
      <c r="C8365" s="2">
        <f>HYPERLINK("https://sao.dolgi.msk.ru/account/1404173391/", 1404173391)</f>
        <v>1404173391</v>
      </c>
      <c r="D8365">
        <v>-29898.41</v>
      </c>
    </row>
    <row r="8366" spans="1:4" hidden="1" x14ac:dyDescent="0.25">
      <c r="A8366" t="s">
        <v>685</v>
      </c>
      <c r="B8366" t="s">
        <v>72</v>
      </c>
      <c r="C8366" s="2">
        <f>HYPERLINK("https://sao.dolgi.msk.ru/account/1404173471/", 1404173471)</f>
        <v>1404173471</v>
      </c>
      <c r="D8366">
        <v>0</v>
      </c>
    </row>
    <row r="8367" spans="1:4" x14ac:dyDescent="0.25">
      <c r="A8367" t="s">
        <v>685</v>
      </c>
      <c r="B8367" t="s">
        <v>73</v>
      </c>
      <c r="C8367" s="2">
        <f>HYPERLINK("https://sao.dolgi.msk.ru/account/1404173463/", 1404173463)</f>
        <v>1404173463</v>
      </c>
      <c r="D8367">
        <v>8022.59</v>
      </c>
    </row>
    <row r="8368" spans="1:4" x14ac:dyDescent="0.25">
      <c r="A8368" t="s">
        <v>685</v>
      </c>
      <c r="B8368" t="s">
        <v>74</v>
      </c>
      <c r="C8368" s="2">
        <f>HYPERLINK("https://sao.dolgi.msk.ru/account/1404173455/", 1404173455)</f>
        <v>1404173455</v>
      </c>
      <c r="D8368">
        <v>14005.16</v>
      </c>
    </row>
    <row r="8369" spans="1:4" x14ac:dyDescent="0.25">
      <c r="A8369" t="s">
        <v>685</v>
      </c>
      <c r="B8369" t="s">
        <v>75</v>
      </c>
      <c r="C8369" s="2">
        <f>HYPERLINK("https://sao.dolgi.msk.ru/account/1404173498/", 1404173498)</f>
        <v>1404173498</v>
      </c>
      <c r="D8369">
        <v>86627.72</v>
      </c>
    </row>
    <row r="8370" spans="1:4" x14ac:dyDescent="0.25">
      <c r="A8370" t="s">
        <v>685</v>
      </c>
      <c r="B8370" t="s">
        <v>76</v>
      </c>
      <c r="C8370" s="2">
        <f>HYPERLINK("https://sao.dolgi.msk.ru/account/1404173447/", 1404173447)</f>
        <v>1404173447</v>
      </c>
      <c r="D8370">
        <v>67489.820000000007</v>
      </c>
    </row>
    <row r="8371" spans="1:4" hidden="1" x14ac:dyDescent="0.25">
      <c r="A8371" t="s">
        <v>685</v>
      </c>
      <c r="B8371" t="s">
        <v>77</v>
      </c>
      <c r="C8371" s="2">
        <f>HYPERLINK("https://sao.dolgi.msk.ru/account/1404174343/", 1404174343)</f>
        <v>1404174343</v>
      </c>
      <c r="D8371">
        <v>-9748.23</v>
      </c>
    </row>
    <row r="8372" spans="1:4" x14ac:dyDescent="0.25">
      <c r="A8372" t="s">
        <v>685</v>
      </c>
      <c r="B8372" t="s">
        <v>78</v>
      </c>
      <c r="C8372" s="2">
        <f>HYPERLINK("https://sao.dolgi.msk.ru/account/1404173834/", 1404173834)</f>
        <v>1404173834</v>
      </c>
      <c r="D8372">
        <v>12038.69</v>
      </c>
    </row>
    <row r="8373" spans="1:4" x14ac:dyDescent="0.25">
      <c r="A8373" t="s">
        <v>685</v>
      </c>
      <c r="B8373" t="s">
        <v>79</v>
      </c>
      <c r="C8373" s="2">
        <f>HYPERLINK("https://sao.dolgi.msk.ru/account/1404174386/", 1404174386)</f>
        <v>1404174386</v>
      </c>
      <c r="D8373">
        <v>639.98</v>
      </c>
    </row>
    <row r="8374" spans="1:4" hidden="1" x14ac:dyDescent="0.25">
      <c r="A8374" t="s">
        <v>685</v>
      </c>
      <c r="B8374" t="s">
        <v>80</v>
      </c>
      <c r="C8374" s="2">
        <f>HYPERLINK("https://sao.dolgi.msk.ru/account/1404173519/", 1404173519)</f>
        <v>1404173519</v>
      </c>
      <c r="D8374">
        <v>-4230.72</v>
      </c>
    </row>
    <row r="8375" spans="1:4" hidden="1" x14ac:dyDescent="0.25">
      <c r="A8375" t="s">
        <v>685</v>
      </c>
      <c r="B8375" t="s">
        <v>81</v>
      </c>
      <c r="C8375" s="2">
        <f>HYPERLINK("https://sao.dolgi.msk.ru/account/1404173818/", 1404173818)</f>
        <v>1404173818</v>
      </c>
      <c r="D8375">
        <v>-8590.17</v>
      </c>
    </row>
    <row r="8376" spans="1:4" hidden="1" x14ac:dyDescent="0.25">
      <c r="A8376" t="s">
        <v>685</v>
      </c>
      <c r="B8376" t="s">
        <v>82</v>
      </c>
      <c r="C8376" s="2">
        <f>HYPERLINK("https://sao.dolgi.msk.ru/account/1404174394/", 1404174394)</f>
        <v>1404174394</v>
      </c>
      <c r="D8376">
        <v>0</v>
      </c>
    </row>
    <row r="8377" spans="1:4" hidden="1" x14ac:dyDescent="0.25">
      <c r="A8377" t="s">
        <v>685</v>
      </c>
      <c r="B8377" t="s">
        <v>83</v>
      </c>
      <c r="C8377" s="2">
        <f>HYPERLINK("https://sao.dolgi.msk.ru/account/1404173762/", 1404173762)</f>
        <v>1404173762</v>
      </c>
      <c r="D8377">
        <v>-13090.72</v>
      </c>
    </row>
    <row r="8378" spans="1:4" x14ac:dyDescent="0.25">
      <c r="A8378" t="s">
        <v>685</v>
      </c>
      <c r="B8378" t="s">
        <v>84</v>
      </c>
      <c r="C8378" s="2">
        <f>HYPERLINK("https://sao.dolgi.msk.ru/account/1404173789/", 1404173789)</f>
        <v>1404173789</v>
      </c>
      <c r="D8378">
        <v>2595.83</v>
      </c>
    </row>
    <row r="8379" spans="1:4" x14ac:dyDescent="0.25">
      <c r="A8379" t="s">
        <v>685</v>
      </c>
      <c r="B8379" t="s">
        <v>85</v>
      </c>
      <c r="C8379" s="2">
        <f>HYPERLINK("https://sao.dolgi.msk.ru/account/1404174247/", 1404174247)</f>
        <v>1404174247</v>
      </c>
      <c r="D8379">
        <v>9631.58</v>
      </c>
    </row>
    <row r="8380" spans="1:4" hidden="1" x14ac:dyDescent="0.25">
      <c r="A8380" t="s">
        <v>685</v>
      </c>
      <c r="B8380" t="s">
        <v>86</v>
      </c>
      <c r="C8380" s="2">
        <f>HYPERLINK("https://sao.dolgi.msk.ru/account/1404173746/", 1404173746)</f>
        <v>1404173746</v>
      </c>
      <c r="D8380">
        <v>-20587.54</v>
      </c>
    </row>
    <row r="8381" spans="1:4" x14ac:dyDescent="0.25">
      <c r="A8381" t="s">
        <v>685</v>
      </c>
      <c r="B8381" t="s">
        <v>87</v>
      </c>
      <c r="C8381" s="2">
        <f>HYPERLINK("https://sao.dolgi.msk.ru/account/1404174255/", 1404174255)</f>
        <v>1404174255</v>
      </c>
      <c r="D8381">
        <v>7910.26</v>
      </c>
    </row>
    <row r="8382" spans="1:4" hidden="1" x14ac:dyDescent="0.25">
      <c r="A8382" t="s">
        <v>685</v>
      </c>
      <c r="B8382" t="s">
        <v>88</v>
      </c>
      <c r="C8382" s="2">
        <f>HYPERLINK("https://sao.dolgi.msk.ru/account/1404173754/", 1404173754)</f>
        <v>1404173754</v>
      </c>
      <c r="D8382">
        <v>-8503.44</v>
      </c>
    </row>
    <row r="8383" spans="1:4" hidden="1" x14ac:dyDescent="0.25">
      <c r="A8383" t="s">
        <v>686</v>
      </c>
      <c r="B8383" t="s">
        <v>5</v>
      </c>
      <c r="C8383" s="2">
        <f>HYPERLINK("https://sao.dolgi.msk.ru/account/1404136718/", 1404136718)</f>
        <v>1404136718</v>
      </c>
      <c r="D8383">
        <v>-4128.6400000000003</v>
      </c>
    </row>
    <row r="8384" spans="1:4" hidden="1" x14ac:dyDescent="0.25">
      <c r="A8384" t="s">
        <v>686</v>
      </c>
      <c r="B8384" t="s">
        <v>6</v>
      </c>
      <c r="C8384" s="2">
        <f>HYPERLINK("https://sao.dolgi.msk.ru/account/1404135782/", 1404135782)</f>
        <v>1404135782</v>
      </c>
      <c r="D8384">
        <v>0</v>
      </c>
    </row>
    <row r="8385" spans="1:4" hidden="1" x14ac:dyDescent="0.25">
      <c r="A8385" t="s">
        <v>686</v>
      </c>
      <c r="B8385" t="s">
        <v>7</v>
      </c>
      <c r="C8385" s="2">
        <f>HYPERLINK("https://sao.dolgi.msk.ru/account/1404136267/", 1404136267)</f>
        <v>1404136267</v>
      </c>
      <c r="D8385">
        <v>-6149.34</v>
      </c>
    </row>
    <row r="8386" spans="1:4" hidden="1" x14ac:dyDescent="0.25">
      <c r="A8386" t="s">
        <v>686</v>
      </c>
      <c r="B8386" t="s">
        <v>8</v>
      </c>
      <c r="C8386" s="2">
        <f>HYPERLINK("https://sao.dolgi.msk.ru/account/1404136064/", 1404136064)</f>
        <v>1404136064</v>
      </c>
      <c r="D8386">
        <v>-2040.86</v>
      </c>
    </row>
    <row r="8387" spans="1:4" x14ac:dyDescent="0.25">
      <c r="A8387" t="s">
        <v>686</v>
      </c>
      <c r="B8387" t="s">
        <v>9</v>
      </c>
      <c r="C8387" s="2">
        <f>HYPERLINK("https://sao.dolgi.msk.ru/account/1404135811/", 1404135811)</f>
        <v>1404135811</v>
      </c>
      <c r="D8387">
        <v>907.84</v>
      </c>
    </row>
    <row r="8388" spans="1:4" x14ac:dyDescent="0.25">
      <c r="A8388" t="s">
        <v>686</v>
      </c>
      <c r="B8388" t="s">
        <v>10</v>
      </c>
      <c r="C8388" s="2">
        <f>HYPERLINK("https://sao.dolgi.msk.ru/account/1404136689/", 1404136689)</f>
        <v>1404136689</v>
      </c>
      <c r="D8388">
        <v>24152.15</v>
      </c>
    </row>
    <row r="8389" spans="1:4" hidden="1" x14ac:dyDescent="0.25">
      <c r="A8389" t="s">
        <v>686</v>
      </c>
      <c r="B8389" t="s">
        <v>11</v>
      </c>
      <c r="C8389" s="2">
        <f>HYPERLINK("https://sao.dolgi.msk.ru/account/1404137083/", 1404137083)</f>
        <v>1404137083</v>
      </c>
      <c r="D8389">
        <v>0</v>
      </c>
    </row>
    <row r="8390" spans="1:4" hidden="1" x14ac:dyDescent="0.25">
      <c r="A8390" t="s">
        <v>686</v>
      </c>
      <c r="B8390" t="s">
        <v>12</v>
      </c>
      <c r="C8390" s="2">
        <f>HYPERLINK("https://sao.dolgi.msk.ru/account/1404135555/", 1404135555)</f>
        <v>1404135555</v>
      </c>
      <c r="D8390">
        <v>-4648.5200000000004</v>
      </c>
    </row>
    <row r="8391" spans="1:4" x14ac:dyDescent="0.25">
      <c r="A8391" t="s">
        <v>686</v>
      </c>
      <c r="B8391" t="s">
        <v>13</v>
      </c>
      <c r="C8391" s="2">
        <f>HYPERLINK("https://sao.dolgi.msk.ru/account/1404136646/", 1404136646)</f>
        <v>1404136646</v>
      </c>
      <c r="D8391">
        <v>6906.24</v>
      </c>
    </row>
    <row r="8392" spans="1:4" hidden="1" x14ac:dyDescent="0.25">
      <c r="A8392" t="s">
        <v>686</v>
      </c>
      <c r="B8392" t="s">
        <v>14</v>
      </c>
      <c r="C8392" s="2">
        <f>HYPERLINK("https://sao.dolgi.msk.ru/account/1404136451/", 1404136451)</f>
        <v>1404136451</v>
      </c>
      <c r="D8392">
        <v>-7927.11</v>
      </c>
    </row>
    <row r="8393" spans="1:4" hidden="1" x14ac:dyDescent="0.25">
      <c r="A8393" t="s">
        <v>686</v>
      </c>
      <c r="B8393" t="s">
        <v>15</v>
      </c>
      <c r="C8393" s="2">
        <f>HYPERLINK("https://sao.dolgi.msk.ru/account/1404136048/", 1404136048)</f>
        <v>1404136048</v>
      </c>
      <c r="D8393">
        <v>-5470.05</v>
      </c>
    </row>
    <row r="8394" spans="1:4" hidden="1" x14ac:dyDescent="0.25">
      <c r="A8394" t="s">
        <v>686</v>
      </c>
      <c r="B8394" t="s">
        <v>16</v>
      </c>
      <c r="C8394" s="2">
        <f>HYPERLINK("https://sao.dolgi.msk.ru/account/1404137147/", 1404137147)</f>
        <v>1404137147</v>
      </c>
      <c r="D8394">
        <v>-3857.16</v>
      </c>
    </row>
    <row r="8395" spans="1:4" hidden="1" x14ac:dyDescent="0.25">
      <c r="A8395" t="s">
        <v>686</v>
      </c>
      <c r="B8395" t="s">
        <v>17</v>
      </c>
      <c r="C8395" s="2">
        <f>HYPERLINK("https://sao.dolgi.msk.ru/account/1404137286/", 1404137286)</f>
        <v>1404137286</v>
      </c>
      <c r="D8395">
        <v>-4104.3</v>
      </c>
    </row>
    <row r="8396" spans="1:4" hidden="1" x14ac:dyDescent="0.25">
      <c r="A8396" t="s">
        <v>686</v>
      </c>
      <c r="B8396" t="s">
        <v>18</v>
      </c>
      <c r="C8396" s="2">
        <f>HYPERLINK("https://sao.dolgi.msk.ru/account/1404136435/", 1404136435)</f>
        <v>1404136435</v>
      </c>
      <c r="D8396">
        <v>-6223.94</v>
      </c>
    </row>
    <row r="8397" spans="1:4" x14ac:dyDescent="0.25">
      <c r="A8397" t="s">
        <v>686</v>
      </c>
      <c r="B8397" t="s">
        <v>19</v>
      </c>
      <c r="C8397" s="2">
        <f>HYPERLINK("https://sao.dolgi.msk.ru/account/1404136937/", 1404136937)</f>
        <v>1404136937</v>
      </c>
      <c r="D8397">
        <v>11186.43</v>
      </c>
    </row>
    <row r="8398" spans="1:4" hidden="1" x14ac:dyDescent="0.25">
      <c r="A8398" t="s">
        <v>686</v>
      </c>
      <c r="B8398" t="s">
        <v>20</v>
      </c>
      <c r="C8398" s="2">
        <f>HYPERLINK("https://sao.dolgi.msk.ru/account/1404136945/", 1404136945)</f>
        <v>1404136945</v>
      </c>
      <c r="D8398">
        <v>0</v>
      </c>
    </row>
    <row r="8399" spans="1:4" x14ac:dyDescent="0.25">
      <c r="A8399" t="s">
        <v>686</v>
      </c>
      <c r="B8399" t="s">
        <v>21</v>
      </c>
      <c r="C8399" s="2">
        <f>HYPERLINK("https://sao.dolgi.msk.ru/account/1404136099/", 1404136099)</f>
        <v>1404136099</v>
      </c>
      <c r="D8399">
        <v>53063.05</v>
      </c>
    </row>
    <row r="8400" spans="1:4" hidden="1" x14ac:dyDescent="0.25">
      <c r="A8400" t="s">
        <v>686</v>
      </c>
      <c r="B8400" t="s">
        <v>22</v>
      </c>
      <c r="C8400" s="2">
        <f>HYPERLINK("https://sao.dolgi.msk.ru/account/1404136929/", 1404136929)</f>
        <v>1404136929</v>
      </c>
      <c r="D8400">
        <v>-177.44</v>
      </c>
    </row>
    <row r="8401" spans="1:4" hidden="1" x14ac:dyDescent="0.25">
      <c r="A8401" t="s">
        <v>686</v>
      </c>
      <c r="B8401" t="s">
        <v>23</v>
      </c>
      <c r="C8401" s="2">
        <f>HYPERLINK("https://sao.dolgi.msk.ru/account/1404136101/", 1404136101)</f>
        <v>1404136101</v>
      </c>
      <c r="D8401">
        <v>-3904.27</v>
      </c>
    </row>
    <row r="8402" spans="1:4" hidden="1" x14ac:dyDescent="0.25">
      <c r="A8402" t="s">
        <v>686</v>
      </c>
      <c r="B8402" t="s">
        <v>24</v>
      </c>
      <c r="C8402" s="2">
        <f>HYPERLINK("https://sao.dolgi.msk.ru/account/1404135854/", 1404135854)</f>
        <v>1404135854</v>
      </c>
      <c r="D8402">
        <v>-378.2</v>
      </c>
    </row>
    <row r="8403" spans="1:4" hidden="1" x14ac:dyDescent="0.25">
      <c r="A8403" t="s">
        <v>686</v>
      </c>
      <c r="B8403" t="s">
        <v>25</v>
      </c>
      <c r="C8403" s="2">
        <f>HYPERLINK("https://sao.dolgi.msk.ru/account/1404136953/", 1404136953)</f>
        <v>1404136953</v>
      </c>
      <c r="D8403">
        <v>-6412.85</v>
      </c>
    </row>
    <row r="8404" spans="1:4" hidden="1" x14ac:dyDescent="0.25">
      <c r="A8404" t="s">
        <v>686</v>
      </c>
      <c r="B8404" t="s">
        <v>26</v>
      </c>
      <c r="C8404" s="2">
        <f>HYPERLINK("https://sao.dolgi.msk.ru/account/1404135862/", 1404135862)</f>
        <v>1404135862</v>
      </c>
      <c r="D8404">
        <v>-4928.46</v>
      </c>
    </row>
    <row r="8405" spans="1:4" hidden="1" x14ac:dyDescent="0.25">
      <c r="A8405" t="s">
        <v>686</v>
      </c>
      <c r="B8405" t="s">
        <v>27</v>
      </c>
      <c r="C8405" s="2">
        <f>HYPERLINK("https://sao.dolgi.msk.ru/account/1404136507/", 1404136507)</f>
        <v>1404136507</v>
      </c>
      <c r="D8405">
        <v>-4082.64</v>
      </c>
    </row>
    <row r="8406" spans="1:4" x14ac:dyDescent="0.25">
      <c r="A8406" t="s">
        <v>686</v>
      </c>
      <c r="B8406" t="s">
        <v>28</v>
      </c>
      <c r="C8406" s="2">
        <f>HYPERLINK("https://sao.dolgi.msk.ru/account/1404136961/", 1404136961)</f>
        <v>1404136961</v>
      </c>
      <c r="D8406">
        <v>6060.58</v>
      </c>
    </row>
    <row r="8407" spans="1:4" hidden="1" x14ac:dyDescent="0.25">
      <c r="A8407" t="s">
        <v>686</v>
      </c>
      <c r="B8407" t="s">
        <v>29</v>
      </c>
      <c r="C8407" s="2">
        <f>HYPERLINK("https://sao.dolgi.msk.ru/account/1404136515/", 1404136515)</f>
        <v>1404136515</v>
      </c>
      <c r="D8407">
        <v>-4559.66</v>
      </c>
    </row>
    <row r="8408" spans="1:4" hidden="1" x14ac:dyDescent="0.25">
      <c r="A8408" t="s">
        <v>686</v>
      </c>
      <c r="B8408" t="s">
        <v>30</v>
      </c>
      <c r="C8408" s="2">
        <f>HYPERLINK("https://sao.dolgi.msk.ru/account/1404136865/", 1404136865)</f>
        <v>1404136865</v>
      </c>
      <c r="D8408">
        <v>-9167.8700000000008</v>
      </c>
    </row>
    <row r="8409" spans="1:4" hidden="1" x14ac:dyDescent="0.25">
      <c r="A8409" t="s">
        <v>686</v>
      </c>
      <c r="B8409" t="s">
        <v>31</v>
      </c>
      <c r="C8409" s="2">
        <f>HYPERLINK("https://sao.dolgi.msk.ru/account/1404135619/", 1404135619)</f>
        <v>1404135619</v>
      </c>
      <c r="D8409">
        <v>-121.93</v>
      </c>
    </row>
    <row r="8410" spans="1:4" hidden="1" x14ac:dyDescent="0.25">
      <c r="A8410" t="s">
        <v>686</v>
      </c>
      <c r="B8410" t="s">
        <v>32</v>
      </c>
      <c r="C8410" s="2">
        <f>HYPERLINK("https://sao.dolgi.msk.ru/account/1404136021/", 1404136021)</f>
        <v>1404136021</v>
      </c>
      <c r="D8410">
        <v>0</v>
      </c>
    </row>
    <row r="8411" spans="1:4" hidden="1" x14ac:dyDescent="0.25">
      <c r="A8411" t="s">
        <v>686</v>
      </c>
      <c r="B8411" t="s">
        <v>33</v>
      </c>
      <c r="C8411" s="2">
        <f>HYPERLINK("https://sao.dolgi.msk.ru/account/1404136304/", 1404136304)</f>
        <v>1404136304</v>
      </c>
      <c r="D8411">
        <v>-7008.86</v>
      </c>
    </row>
    <row r="8412" spans="1:4" hidden="1" x14ac:dyDescent="0.25">
      <c r="A8412" t="s">
        <v>686</v>
      </c>
      <c r="B8412" t="s">
        <v>34</v>
      </c>
      <c r="C8412" s="2">
        <f>HYPERLINK("https://sao.dolgi.msk.ru/account/1404136128/", 1404136128)</f>
        <v>1404136128</v>
      </c>
      <c r="D8412">
        <v>-2981.67</v>
      </c>
    </row>
    <row r="8413" spans="1:4" hidden="1" x14ac:dyDescent="0.25">
      <c r="A8413" t="s">
        <v>686</v>
      </c>
      <c r="B8413" t="s">
        <v>35</v>
      </c>
      <c r="C8413" s="2">
        <f>HYPERLINK("https://sao.dolgi.msk.ru/account/1404137112/", 1404137112)</f>
        <v>1404137112</v>
      </c>
      <c r="D8413">
        <v>0</v>
      </c>
    </row>
    <row r="8414" spans="1:4" hidden="1" x14ac:dyDescent="0.25">
      <c r="A8414" t="s">
        <v>686</v>
      </c>
      <c r="B8414" t="s">
        <v>36</v>
      </c>
      <c r="C8414" s="2">
        <f>HYPERLINK("https://sao.dolgi.msk.ru/account/1404135774/", 1404135774)</f>
        <v>1404135774</v>
      </c>
      <c r="D8414">
        <v>-5815.04</v>
      </c>
    </row>
    <row r="8415" spans="1:4" hidden="1" x14ac:dyDescent="0.25">
      <c r="A8415" t="s">
        <v>686</v>
      </c>
      <c r="B8415" t="s">
        <v>37</v>
      </c>
      <c r="C8415" s="2">
        <f>HYPERLINK("https://sao.dolgi.msk.ru/account/1404135897/", 1404135897)</f>
        <v>1404135897</v>
      </c>
      <c r="D8415">
        <v>-5591.34</v>
      </c>
    </row>
    <row r="8416" spans="1:4" hidden="1" x14ac:dyDescent="0.25">
      <c r="A8416" t="s">
        <v>686</v>
      </c>
      <c r="B8416" t="s">
        <v>38</v>
      </c>
      <c r="C8416" s="2">
        <f>HYPERLINK("https://sao.dolgi.msk.ru/account/1404135918/", 1404135918)</f>
        <v>1404135918</v>
      </c>
      <c r="D8416">
        <v>-5595.24</v>
      </c>
    </row>
    <row r="8417" spans="1:4" hidden="1" x14ac:dyDescent="0.25">
      <c r="A8417" t="s">
        <v>686</v>
      </c>
      <c r="B8417" t="s">
        <v>39</v>
      </c>
      <c r="C8417" s="2">
        <f>HYPERLINK("https://sao.dolgi.msk.ru/account/1404136486/", 1404136486)</f>
        <v>1404136486</v>
      </c>
      <c r="D8417">
        <v>-5585.5</v>
      </c>
    </row>
    <row r="8418" spans="1:4" hidden="1" x14ac:dyDescent="0.25">
      <c r="A8418" t="s">
        <v>686</v>
      </c>
      <c r="B8418" t="s">
        <v>40</v>
      </c>
      <c r="C8418" s="2">
        <f>HYPERLINK("https://sao.dolgi.msk.ru/account/1404137104/", 1404137104)</f>
        <v>1404137104</v>
      </c>
      <c r="D8418">
        <v>-3571.78</v>
      </c>
    </row>
    <row r="8419" spans="1:4" hidden="1" x14ac:dyDescent="0.25">
      <c r="A8419" t="s">
        <v>686</v>
      </c>
      <c r="B8419" t="s">
        <v>41</v>
      </c>
      <c r="C8419" s="2">
        <f>HYPERLINK("https://sao.dolgi.msk.ru/account/1404135803/", 1404135803)</f>
        <v>1404135803</v>
      </c>
      <c r="D8419">
        <v>-6498.83</v>
      </c>
    </row>
    <row r="8420" spans="1:4" hidden="1" x14ac:dyDescent="0.25">
      <c r="A8420" t="s">
        <v>686</v>
      </c>
      <c r="B8420" t="s">
        <v>42</v>
      </c>
      <c r="C8420" s="2">
        <f>HYPERLINK("https://sao.dolgi.msk.ru/account/1404136726/", 1404136726)</f>
        <v>1404136726</v>
      </c>
      <c r="D8420">
        <v>-9152.2999999999993</v>
      </c>
    </row>
    <row r="8421" spans="1:4" hidden="1" x14ac:dyDescent="0.25">
      <c r="A8421" t="s">
        <v>686</v>
      </c>
      <c r="B8421" t="s">
        <v>43</v>
      </c>
      <c r="C8421" s="2">
        <f>HYPERLINK("https://sao.dolgi.msk.ru/account/1404136662/", 1404136662)</f>
        <v>1404136662</v>
      </c>
      <c r="D8421">
        <v>-5801.24</v>
      </c>
    </row>
    <row r="8422" spans="1:4" hidden="1" x14ac:dyDescent="0.25">
      <c r="A8422" t="s">
        <v>686</v>
      </c>
      <c r="B8422" t="s">
        <v>44</v>
      </c>
      <c r="C8422" s="2">
        <f>HYPERLINK("https://sao.dolgi.msk.ru/account/1404137294/", 1404137294)</f>
        <v>1404137294</v>
      </c>
      <c r="D8422">
        <v>0</v>
      </c>
    </row>
    <row r="8423" spans="1:4" hidden="1" x14ac:dyDescent="0.25">
      <c r="A8423" t="s">
        <v>686</v>
      </c>
      <c r="B8423" t="s">
        <v>45</v>
      </c>
      <c r="C8423" s="2">
        <f>HYPERLINK("https://sao.dolgi.msk.ru/account/1404137278/", 1404137278)</f>
        <v>1404137278</v>
      </c>
      <c r="D8423">
        <v>0</v>
      </c>
    </row>
    <row r="8424" spans="1:4" hidden="1" x14ac:dyDescent="0.25">
      <c r="A8424" t="s">
        <v>686</v>
      </c>
      <c r="B8424" t="s">
        <v>46</v>
      </c>
      <c r="C8424" s="2">
        <f>HYPERLINK("https://sao.dolgi.msk.ru/account/1404136224/", 1404136224)</f>
        <v>1404136224</v>
      </c>
      <c r="D8424">
        <v>-5325.5</v>
      </c>
    </row>
    <row r="8425" spans="1:4" hidden="1" x14ac:dyDescent="0.25">
      <c r="A8425" t="s">
        <v>686</v>
      </c>
      <c r="B8425" t="s">
        <v>47</v>
      </c>
      <c r="C8425" s="2">
        <f>HYPERLINK("https://sao.dolgi.msk.ru/account/1404136056/", 1404136056)</f>
        <v>1404136056</v>
      </c>
      <c r="D8425">
        <v>0</v>
      </c>
    </row>
    <row r="8426" spans="1:4" hidden="1" x14ac:dyDescent="0.25">
      <c r="A8426" t="s">
        <v>686</v>
      </c>
      <c r="B8426" t="s">
        <v>48</v>
      </c>
      <c r="C8426" s="2">
        <f>HYPERLINK("https://sao.dolgi.msk.ru/account/1404136531/", 1404136531)</f>
        <v>1404136531</v>
      </c>
      <c r="D8426">
        <v>-3613.52</v>
      </c>
    </row>
    <row r="8427" spans="1:4" hidden="1" x14ac:dyDescent="0.25">
      <c r="A8427" t="s">
        <v>686</v>
      </c>
      <c r="B8427" t="s">
        <v>48</v>
      </c>
      <c r="C8427" s="2">
        <f>HYPERLINK("https://sao.dolgi.msk.ru/account/1404171337/", 1404171337)</f>
        <v>1404171337</v>
      </c>
      <c r="D8427">
        <v>-3295.61</v>
      </c>
    </row>
    <row r="8428" spans="1:4" hidden="1" x14ac:dyDescent="0.25">
      <c r="A8428" t="s">
        <v>686</v>
      </c>
      <c r="B8428" t="s">
        <v>49</v>
      </c>
      <c r="C8428" s="2">
        <f>HYPERLINK("https://sao.dolgi.msk.ru/account/1404136283/", 1404136283)</f>
        <v>1404136283</v>
      </c>
      <c r="D8428">
        <v>0</v>
      </c>
    </row>
    <row r="8429" spans="1:4" hidden="1" x14ac:dyDescent="0.25">
      <c r="A8429" t="s">
        <v>686</v>
      </c>
      <c r="B8429" t="s">
        <v>50</v>
      </c>
      <c r="C8429" s="2">
        <f>HYPERLINK("https://sao.dolgi.msk.ru/account/1404136873/", 1404136873)</f>
        <v>1404136873</v>
      </c>
      <c r="D8429">
        <v>0</v>
      </c>
    </row>
    <row r="8430" spans="1:4" hidden="1" x14ac:dyDescent="0.25">
      <c r="A8430" t="s">
        <v>686</v>
      </c>
      <c r="B8430" t="s">
        <v>51</v>
      </c>
      <c r="C8430" s="2">
        <f>HYPERLINK("https://sao.dolgi.msk.ru/account/1404136849/", 1404136849)</f>
        <v>1404136849</v>
      </c>
      <c r="D8430">
        <v>-5441.89</v>
      </c>
    </row>
    <row r="8431" spans="1:4" hidden="1" x14ac:dyDescent="0.25">
      <c r="A8431" t="s">
        <v>686</v>
      </c>
      <c r="B8431" t="s">
        <v>52</v>
      </c>
      <c r="C8431" s="2">
        <f>HYPERLINK("https://sao.dolgi.msk.ru/account/1404137307/", 1404137307)</f>
        <v>1404137307</v>
      </c>
      <c r="D8431">
        <v>-6199.77</v>
      </c>
    </row>
    <row r="8432" spans="1:4" hidden="1" x14ac:dyDescent="0.25">
      <c r="A8432" t="s">
        <v>686</v>
      </c>
      <c r="B8432" t="s">
        <v>53</v>
      </c>
      <c r="C8432" s="2">
        <f>HYPERLINK("https://sao.dolgi.msk.ru/account/1404136478/", 1404136478)</f>
        <v>1404136478</v>
      </c>
      <c r="D8432">
        <v>-4758.8</v>
      </c>
    </row>
    <row r="8433" spans="1:4" hidden="1" x14ac:dyDescent="0.25">
      <c r="A8433" t="s">
        <v>686</v>
      </c>
      <c r="B8433" t="s">
        <v>54</v>
      </c>
      <c r="C8433" s="2">
        <f>HYPERLINK("https://sao.dolgi.msk.ru/account/1404137155/", 1404137155)</f>
        <v>1404137155</v>
      </c>
      <c r="D8433">
        <v>0</v>
      </c>
    </row>
    <row r="8434" spans="1:4" hidden="1" x14ac:dyDescent="0.25">
      <c r="A8434" t="s">
        <v>686</v>
      </c>
      <c r="B8434" t="s">
        <v>55</v>
      </c>
      <c r="C8434" s="2">
        <f>HYPERLINK("https://sao.dolgi.msk.ru/account/1404136638/", 1404136638)</f>
        <v>1404136638</v>
      </c>
      <c r="D8434">
        <v>-6241.97</v>
      </c>
    </row>
    <row r="8435" spans="1:4" hidden="1" x14ac:dyDescent="0.25">
      <c r="A8435" t="s">
        <v>686</v>
      </c>
      <c r="B8435" t="s">
        <v>56</v>
      </c>
      <c r="C8435" s="2">
        <f>HYPERLINK("https://sao.dolgi.msk.ru/account/1404136291/", 1404136291)</f>
        <v>1404136291</v>
      </c>
      <c r="D8435">
        <v>-5491.79</v>
      </c>
    </row>
    <row r="8436" spans="1:4" hidden="1" x14ac:dyDescent="0.25">
      <c r="A8436" t="s">
        <v>686</v>
      </c>
      <c r="B8436" t="s">
        <v>57</v>
      </c>
      <c r="C8436" s="2">
        <f>HYPERLINK("https://sao.dolgi.msk.ru/account/1404136881/", 1404136881)</f>
        <v>1404136881</v>
      </c>
      <c r="D8436">
        <v>-6103.16</v>
      </c>
    </row>
    <row r="8437" spans="1:4" hidden="1" x14ac:dyDescent="0.25">
      <c r="A8437" t="s">
        <v>686</v>
      </c>
      <c r="B8437" t="s">
        <v>58</v>
      </c>
      <c r="C8437" s="2">
        <f>HYPERLINK("https://sao.dolgi.msk.ru/account/1404137008/", 1404137008)</f>
        <v>1404137008</v>
      </c>
      <c r="D8437">
        <v>-6609.78</v>
      </c>
    </row>
    <row r="8438" spans="1:4" x14ac:dyDescent="0.25">
      <c r="A8438" t="s">
        <v>686</v>
      </c>
      <c r="B8438" t="s">
        <v>59</v>
      </c>
      <c r="C8438" s="2">
        <f>HYPERLINK("https://sao.dolgi.msk.ru/account/1404137323/", 1404137323)</f>
        <v>1404137323</v>
      </c>
      <c r="D8438">
        <v>19646.759999999998</v>
      </c>
    </row>
    <row r="8439" spans="1:4" hidden="1" x14ac:dyDescent="0.25">
      <c r="A8439" t="s">
        <v>686</v>
      </c>
      <c r="B8439" t="s">
        <v>60</v>
      </c>
      <c r="C8439" s="2">
        <f>HYPERLINK("https://sao.dolgi.msk.ru/account/1404135889/", 1404135889)</f>
        <v>1404135889</v>
      </c>
      <c r="D8439">
        <v>-4005.57</v>
      </c>
    </row>
    <row r="8440" spans="1:4" hidden="1" x14ac:dyDescent="0.25">
      <c r="A8440" t="s">
        <v>686</v>
      </c>
      <c r="B8440" t="s">
        <v>61</v>
      </c>
      <c r="C8440" s="2">
        <f>HYPERLINK("https://sao.dolgi.msk.ru/account/1404137163/", 1404137163)</f>
        <v>1404137163</v>
      </c>
      <c r="D8440">
        <v>-6218.63</v>
      </c>
    </row>
    <row r="8441" spans="1:4" x14ac:dyDescent="0.25">
      <c r="A8441" t="s">
        <v>686</v>
      </c>
      <c r="B8441" t="s">
        <v>62</v>
      </c>
      <c r="C8441" s="2">
        <f>HYPERLINK("https://sao.dolgi.msk.ru/account/1404136654/", 1404136654)</f>
        <v>1404136654</v>
      </c>
      <c r="D8441">
        <v>9323.91</v>
      </c>
    </row>
    <row r="8442" spans="1:4" hidden="1" x14ac:dyDescent="0.25">
      <c r="A8442" t="s">
        <v>686</v>
      </c>
      <c r="B8442" t="s">
        <v>63</v>
      </c>
      <c r="C8442" s="2">
        <f>HYPERLINK("https://sao.dolgi.msk.ru/account/1404136144/", 1404136144)</f>
        <v>1404136144</v>
      </c>
      <c r="D8442">
        <v>-1842.13</v>
      </c>
    </row>
    <row r="8443" spans="1:4" hidden="1" x14ac:dyDescent="0.25">
      <c r="A8443" t="s">
        <v>686</v>
      </c>
      <c r="B8443" t="s">
        <v>64</v>
      </c>
      <c r="C8443" s="2">
        <f>HYPERLINK("https://sao.dolgi.msk.ru/account/1404137315/", 1404137315)</f>
        <v>1404137315</v>
      </c>
      <c r="D8443">
        <v>-5082.3999999999996</v>
      </c>
    </row>
    <row r="8444" spans="1:4" hidden="1" x14ac:dyDescent="0.25">
      <c r="A8444" t="s">
        <v>686</v>
      </c>
      <c r="B8444" t="s">
        <v>65</v>
      </c>
      <c r="C8444" s="2">
        <f>HYPERLINK("https://sao.dolgi.msk.ru/account/1404136339/", 1404136339)</f>
        <v>1404136339</v>
      </c>
      <c r="D8444">
        <v>0</v>
      </c>
    </row>
    <row r="8445" spans="1:4" hidden="1" x14ac:dyDescent="0.25">
      <c r="A8445" t="s">
        <v>686</v>
      </c>
      <c r="B8445" t="s">
        <v>66</v>
      </c>
      <c r="C8445" s="2">
        <f>HYPERLINK("https://sao.dolgi.msk.ru/account/1404136742/", 1404136742)</f>
        <v>1404136742</v>
      </c>
      <c r="D8445">
        <v>-7167.97</v>
      </c>
    </row>
    <row r="8446" spans="1:4" hidden="1" x14ac:dyDescent="0.25">
      <c r="A8446" t="s">
        <v>686</v>
      </c>
      <c r="B8446" t="s">
        <v>67</v>
      </c>
      <c r="C8446" s="2">
        <f>HYPERLINK("https://sao.dolgi.msk.ru/account/1404136566/", 1404136566)</f>
        <v>1404136566</v>
      </c>
      <c r="D8446">
        <v>-1273.49</v>
      </c>
    </row>
    <row r="8447" spans="1:4" hidden="1" x14ac:dyDescent="0.25">
      <c r="A8447" t="s">
        <v>686</v>
      </c>
      <c r="B8447" t="s">
        <v>68</v>
      </c>
      <c r="C8447" s="2">
        <f>HYPERLINK("https://sao.dolgi.msk.ru/account/1404135934/", 1404135934)</f>
        <v>1404135934</v>
      </c>
      <c r="D8447">
        <v>-796.63</v>
      </c>
    </row>
    <row r="8448" spans="1:4" hidden="1" x14ac:dyDescent="0.25">
      <c r="A8448" t="s">
        <v>686</v>
      </c>
      <c r="B8448" t="s">
        <v>69</v>
      </c>
      <c r="C8448" s="2">
        <f>HYPERLINK("https://sao.dolgi.msk.ru/account/1404136574/", 1404136574)</f>
        <v>1404136574</v>
      </c>
      <c r="D8448">
        <v>-565.16999999999996</v>
      </c>
    </row>
    <row r="8449" spans="1:4" hidden="1" x14ac:dyDescent="0.25">
      <c r="A8449" t="s">
        <v>686</v>
      </c>
      <c r="B8449" t="s">
        <v>70</v>
      </c>
      <c r="C8449" s="2">
        <f>HYPERLINK("https://sao.dolgi.msk.ru/account/1404137075/", 1404137075)</f>
        <v>1404137075</v>
      </c>
      <c r="D8449">
        <v>-5021.22</v>
      </c>
    </row>
    <row r="8450" spans="1:4" hidden="1" x14ac:dyDescent="0.25">
      <c r="A8450" t="s">
        <v>686</v>
      </c>
      <c r="B8450" t="s">
        <v>71</v>
      </c>
      <c r="C8450" s="2">
        <f>HYPERLINK("https://sao.dolgi.msk.ru/account/1404137024/", 1404137024)</f>
        <v>1404137024</v>
      </c>
      <c r="D8450">
        <v>0</v>
      </c>
    </row>
    <row r="8451" spans="1:4" x14ac:dyDescent="0.25">
      <c r="A8451" t="s">
        <v>686</v>
      </c>
      <c r="B8451" t="s">
        <v>72</v>
      </c>
      <c r="C8451" s="2">
        <f>HYPERLINK("https://sao.dolgi.msk.ru/account/1404137171/", 1404137171)</f>
        <v>1404137171</v>
      </c>
      <c r="D8451">
        <v>7068.35</v>
      </c>
    </row>
    <row r="8452" spans="1:4" x14ac:dyDescent="0.25">
      <c r="A8452" t="s">
        <v>686</v>
      </c>
      <c r="B8452" t="s">
        <v>73</v>
      </c>
      <c r="C8452" s="2">
        <f>HYPERLINK("https://sao.dolgi.msk.ru/account/1404135635/", 1404135635)</f>
        <v>1404135635</v>
      </c>
      <c r="D8452">
        <v>15264.47</v>
      </c>
    </row>
    <row r="8453" spans="1:4" x14ac:dyDescent="0.25">
      <c r="A8453" t="s">
        <v>686</v>
      </c>
      <c r="B8453" t="s">
        <v>74</v>
      </c>
      <c r="C8453" s="2">
        <f>HYPERLINK("https://sao.dolgi.msk.ru/account/1404136769/", 1404136769)</f>
        <v>1404136769</v>
      </c>
      <c r="D8453">
        <v>88971.18</v>
      </c>
    </row>
    <row r="8454" spans="1:4" hidden="1" x14ac:dyDescent="0.25">
      <c r="A8454" t="s">
        <v>686</v>
      </c>
      <c r="B8454" t="s">
        <v>75</v>
      </c>
      <c r="C8454" s="2">
        <f>HYPERLINK("https://sao.dolgi.msk.ru/account/1404135942/", 1404135942)</f>
        <v>1404135942</v>
      </c>
      <c r="D8454">
        <v>-1215.08</v>
      </c>
    </row>
    <row r="8455" spans="1:4" hidden="1" x14ac:dyDescent="0.25">
      <c r="A8455" t="s">
        <v>686</v>
      </c>
      <c r="B8455" t="s">
        <v>76</v>
      </c>
      <c r="C8455" s="2">
        <f>HYPERLINK("https://sao.dolgi.msk.ru/account/1404137198/", 1404137198)</f>
        <v>1404137198</v>
      </c>
      <c r="D8455">
        <v>-7167.73</v>
      </c>
    </row>
    <row r="8456" spans="1:4" hidden="1" x14ac:dyDescent="0.25">
      <c r="A8456" t="s">
        <v>686</v>
      </c>
      <c r="B8456" t="s">
        <v>77</v>
      </c>
      <c r="C8456" s="2">
        <f>HYPERLINK("https://sao.dolgi.msk.ru/account/1404136152/", 1404136152)</f>
        <v>1404136152</v>
      </c>
      <c r="D8456">
        <v>-3984.68</v>
      </c>
    </row>
    <row r="8457" spans="1:4" hidden="1" x14ac:dyDescent="0.25">
      <c r="A8457" t="s">
        <v>686</v>
      </c>
      <c r="B8457" t="s">
        <v>78</v>
      </c>
      <c r="C8457" s="2">
        <f>HYPERLINK("https://sao.dolgi.msk.ru/account/1404136259/", 1404136259)</f>
        <v>1404136259</v>
      </c>
      <c r="D8457">
        <v>-1801.39</v>
      </c>
    </row>
    <row r="8458" spans="1:4" hidden="1" x14ac:dyDescent="0.25">
      <c r="A8458" t="s">
        <v>686</v>
      </c>
      <c r="B8458" t="s">
        <v>79</v>
      </c>
      <c r="C8458" s="2">
        <f>HYPERLINK("https://sao.dolgi.msk.ru/account/1404135643/", 1404135643)</f>
        <v>1404135643</v>
      </c>
      <c r="D8458">
        <v>-5036.58</v>
      </c>
    </row>
    <row r="8459" spans="1:4" hidden="1" x14ac:dyDescent="0.25">
      <c r="A8459" t="s">
        <v>686</v>
      </c>
      <c r="B8459" t="s">
        <v>80</v>
      </c>
      <c r="C8459" s="2">
        <f>HYPERLINK("https://sao.dolgi.msk.ru/account/1404136988/", 1404136988)</f>
        <v>1404136988</v>
      </c>
      <c r="D8459">
        <v>-7087.35</v>
      </c>
    </row>
    <row r="8460" spans="1:4" hidden="1" x14ac:dyDescent="0.25">
      <c r="A8460" t="s">
        <v>686</v>
      </c>
      <c r="B8460" t="s">
        <v>81</v>
      </c>
      <c r="C8460" s="2">
        <f>HYPERLINK("https://sao.dolgi.msk.ru/account/1404137032/", 1404137032)</f>
        <v>1404137032</v>
      </c>
      <c r="D8460">
        <v>0</v>
      </c>
    </row>
    <row r="8461" spans="1:4" hidden="1" x14ac:dyDescent="0.25">
      <c r="A8461" t="s">
        <v>686</v>
      </c>
      <c r="B8461" t="s">
        <v>82</v>
      </c>
      <c r="C8461" s="2">
        <f>HYPERLINK("https://sao.dolgi.msk.ru/account/1404137219/", 1404137219)</f>
        <v>1404137219</v>
      </c>
      <c r="D8461">
        <v>-1301.92</v>
      </c>
    </row>
    <row r="8462" spans="1:4" hidden="1" x14ac:dyDescent="0.25">
      <c r="A8462" t="s">
        <v>686</v>
      </c>
      <c r="B8462" t="s">
        <v>83</v>
      </c>
      <c r="C8462" s="2">
        <f>HYPERLINK("https://sao.dolgi.msk.ru/account/1404136697/", 1404136697)</f>
        <v>1404136697</v>
      </c>
      <c r="D8462">
        <v>-9693.01</v>
      </c>
    </row>
    <row r="8463" spans="1:4" hidden="1" x14ac:dyDescent="0.25">
      <c r="A8463" t="s">
        <v>686</v>
      </c>
      <c r="B8463" t="s">
        <v>84</v>
      </c>
      <c r="C8463" s="2">
        <f>HYPERLINK("https://sao.dolgi.msk.ru/account/1404136347/", 1404136347)</f>
        <v>1404136347</v>
      </c>
      <c r="D8463">
        <v>0</v>
      </c>
    </row>
    <row r="8464" spans="1:4" hidden="1" x14ac:dyDescent="0.25">
      <c r="A8464" t="s">
        <v>686</v>
      </c>
      <c r="B8464" t="s">
        <v>85</v>
      </c>
      <c r="C8464" s="2">
        <f>HYPERLINK("https://sao.dolgi.msk.ru/account/1404136216/", 1404136216)</f>
        <v>1404136216</v>
      </c>
      <c r="D8464">
        <v>-7040.87</v>
      </c>
    </row>
    <row r="8465" spans="1:4" hidden="1" x14ac:dyDescent="0.25">
      <c r="A8465" t="s">
        <v>686</v>
      </c>
      <c r="B8465" t="s">
        <v>86</v>
      </c>
      <c r="C8465" s="2">
        <f>HYPERLINK("https://sao.dolgi.msk.ru/account/1404136427/", 1404136427)</f>
        <v>1404136427</v>
      </c>
      <c r="D8465">
        <v>-3727.41</v>
      </c>
    </row>
    <row r="8466" spans="1:4" hidden="1" x14ac:dyDescent="0.25">
      <c r="A8466" t="s">
        <v>686</v>
      </c>
      <c r="B8466" t="s">
        <v>87</v>
      </c>
      <c r="C8466" s="2">
        <f>HYPERLINK("https://sao.dolgi.msk.ru/account/1404135651/", 1404135651)</f>
        <v>1404135651</v>
      </c>
      <c r="D8466">
        <v>-377.48</v>
      </c>
    </row>
    <row r="8467" spans="1:4" hidden="1" x14ac:dyDescent="0.25">
      <c r="A8467" t="s">
        <v>686</v>
      </c>
      <c r="B8467" t="s">
        <v>88</v>
      </c>
      <c r="C8467" s="2">
        <f>HYPERLINK("https://sao.dolgi.msk.ru/account/1404135838/", 1404135838)</f>
        <v>1404135838</v>
      </c>
      <c r="D8467">
        <v>-6958.12</v>
      </c>
    </row>
    <row r="8468" spans="1:4" hidden="1" x14ac:dyDescent="0.25">
      <c r="A8468" t="s">
        <v>686</v>
      </c>
      <c r="B8468" t="s">
        <v>89</v>
      </c>
      <c r="C8468" s="2">
        <f>HYPERLINK("https://sao.dolgi.msk.ru/account/1404135678/", 1404135678)</f>
        <v>1404135678</v>
      </c>
      <c r="D8468">
        <v>-6807.05</v>
      </c>
    </row>
    <row r="8469" spans="1:4" hidden="1" x14ac:dyDescent="0.25">
      <c r="A8469" t="s">
        <v>686</v>
      </c>
      <c r="B8469" t="s">
        <v>90</v>
      </c>
      <c r="C8469" s="2">
        <f>HYPERLINK("https://sao.dolgi.msk.ru/account/1404137227/", 1404137227)</f>
        <v>1404137227</v>
      </c>
      <c r="D8469">
        <v>-5423.37</v>
      </c>
    </row>
    <row r="8470" spans="1:4" hidden="1" x14ac:dyDescent="0.25">
      <c r="A8470" t="s">
        <v>686</v>
      </c>
      <c r="B8470" t="s">
        <v>91</v>
      </c>
      <c r="C8470" s="2">
        <f>HYPERLINK("https://sao.dolgi.msk.ru/account/1404136857/", 1404136857)</f>
        <v>1404136857</v>
      </c>
      <c r="D8470">
        <v>0</v>
      </c>
    </row>
    <row r="8471" spans="1:4" x14ac:dyDescent="0.25">
      <c r="A8471" t="s">
        <v>686</v>
      </c>
      <c r="B8471" t="s">
        <v>92</v>
      </c>
      <c r="C8471" s="2">
        <f>HYPERLINK("https://sao.dolgi.msk.ru/account/1404137139/", 1404137139)</f>
        <v>1404137139</v>
      </c>
      <c r="D8471">
        <v>1592.85</v>
      </c>
    </row>
    <row r="8472" spans="1:4" hidden="1" x14ac:dyDescent="0.25">
      <c r="A8472" t="s">
        <v>686</v>
      </c>
      <c r="B8472" t="s">
        <v>93</v>
      </c>
      <c r="C8472" s="2">
        <f>HYPERLINK("https://sao.dolgi.msk.ru/account/1404135547/", 1404135547)</f>
        <v>1404135547</v>
      </c>
      <c r="D8472">
        <v>-6825.11</v>
      </c>
    </row>
    <row r="8473" spans="1:4" hidden="1" x14ac:dyDescent="0.25">
      <c r="A8473" t="s">
        <v>686</v>
      </c>
      <c r="B8473" t="s">
        <v>94</v>
      </c>
      <c r="C8473" s="2">
        <f>HYPERLINK("https://sao.dolgi.msk.ru/account/1404137059/", 1404137059)</f>
        <v>1404137059</v>
      </c>
      <c r="D8473">
        <v>-5125.6499999999996</v>
      </c>
    </row>
    <row r="8474" spans="1:4" hidden="1" x14ac:dyDescent="0.25">
      <c r="A8474" t="s">
        <v>686</v>
      </c>
      <c r="B8474" t="s">
        <v>95</v>
      </c>
      <c r="C8474" s="2">
        <f>HYPERLINK("https://sao.dolgi.msk.ru/account/1404137235/", 1404137235)</f>
        <v>1404137235</v>
      </c>
      <c r="D8474">
        <v>-6987.05</v>
      </c>
    </row>
    <row r="8475" spans="1:4" hidden="1" x14ac:dyDescent="0.25">
      <c r="A8475" t="s">
        <v>686</v>
      </c>
      <c r="B8475" t="s">
        <v>96</v>
      </c>
      <c r="C8475" s="2">
        <f>HYPERLINK("https://sao.dolgi.msk.ru/account/1404136777/", 1404136777)</f>
        <v>1404136777</v>
      </c>
      <c r="D8475">
        <v>-7273.16</v>
      </c>
    </row>
    <row r="8476" spans="1:4" hidden="1" x14ac:dyDescent="0.25">
      <c r="A8476" t="s">
        <v>686</v>
      </c>
      <c r="B8476" t="s">
        <v>97</v>
      </c>
      <c r="C8476" s="2">
        <f>HYPERLINK("https://sao.dolgi.msk.ru/account/1404136558/", 1404136558)</f>
        <v>1404136558</v>
      </c>
      <c r="D8476">
        <v>-7786.15</v>
      </c>
    </row>
    <row r="8477" spans="1:4" hidden="1" x14ac:dyDescent="0.25">
      <c r="A8477" t="s">
        <v>686</v>
      </c>
      <c r="B8477" t="s">
        <v>98</v>
      </c>
      <c r="C8477" s="2">
        <f>HYPERLINK("https://sao.dolgi.msk.ru/account/1404136275/", 1404136275)</f>
        <v>1404136275</v>
      </c>
      <c r="D8477">
        <v>-5592.34</v>
      </c>
    </row>
    <row r="8478" spans="1:4" hidden="1" x14ac:dyDescent="0.25">
      <c r="A8478" t="s">
        <v>686</v>
      </c>
      <c r="B8478" t="s">
        <v>99</v>
      </c>
      <c r="C8478" s="2">
        <f>HYPERLINK("https://sao.dolgi.msk.ru/account/1404135598/", 1404135598)</f>
        <v>1404135598</v>
      </c>
      <c r="D8478">
        <v>-117.96</v>
      </c>
    </row>
    <row r="8479" spans="1:4" hidden="1" x14ac:dyDescent="0.25">
      <c r="A8479" t="s">
        <v>686</v>
      </c>
      <c r="B8479" t="s">
        <v>100</v>
      </c>
      <c r="C8479" s="2">
        <f>HYPERLINK("https://sao.dolgi.msk.ru/account/1404136734/", 1404136734)</f>
        <v>1404136734</v>
      </c>
      <c r="D8479">
        <v>-5139.59</v>
      </c>
    </row>
    <row r="8480" spans="1:4" hidden="1" x14ac:dyDescent="0.25">
      <c r="A8480" t="s">
        <v>686</v>
      </c>
      <c r="B8480" t="s">
        <v>101</v>
      </c>
      <c r="C8480" s="2">
        <f>HYPERLINK("https://sao.dolgi.msk.ru/account/1404136136/", 1404136136)</f>
        <v>1404136136</v>
      </c>
      <c r="D8480">
        <v>-6568.44</v>
      </c>
    </row>
    <row r="8481" spans="1:4" hidden="1" x14ac:dyDescent="0.25">
      <c r="A8481" t="s">
        <v>686</v>
      </c>
      <c r="B8481" t="s">
        <v>102</v>
      </c>
      <c r="C8481" s="2">
        <f>HYPERLINK("https://sao.dolgi.msk.ru/account/1404136785/", 1404136785)</f>
        <v>1404136785</v>
      </c>
      <c r="D8481">
        <v>-4287.58</v>
      </c>
    </row>
    <row r="8482" spans="1:4" x14ac:dyDescent="0.25">
      <c r="A8482" t="s">
        <v>686</v>
      </c>
      <c r="B8482" t="s">
        <v>103</v>
      </c>
      <c r="C8482" s="2">
        <f>HYPERLINK("https://sao.dolgi.msk.ru/account/1404136179/", 1404136179)</f>
        <v>1404136179</v>
      </c>
      <c r="D8482">
        <v>25783.29</v>
      </c>
    </row>
    <row r="8483" spans="1:4" hidden="1" x14ac:dyDescent="0.25">
      <c r="A8483" t="s">
        <v>686</v>
      </c>
      <c r="B8483" t="s">
        <v>104</v>
      </c>
      <c r="C8483" s="2">
        <f>HYPERLINK("https://sao.dolgi.msk.ru/account/1404135969/", 1404135969)</f>
        <v>1404135969</v>
      </c>
      <c r="D8483">
        <v>-5283.25</v>
      </c>
    </row>
    <row r="8484" spans="1:4" hidden="1" x14ac:dyDescent="0.25">
      <c r="A8484" t="s">
        <v>686</v>
      </c>
      <c r="B8484" t="s">
        <v>105</v>
      </c>
      <c r="C8484" s="2">
        <f>HYPERLINK("https://sao.dolgi.msk.ru/account/1404136793/", 1404136793)</f>
        <v>1404136793</v>
      </c>
      <c r="D8484">
        <v>0</v>
      </c>
    </row>
    <row r="8485" spans="1:4" hidden="1" x14ac:dyDescent="0.25">
      <c r="A8485" t="s">
        <v>686</v>
      </c>
      <c r="B8485" t="s">
        <v>106</v>
      </c>
      <c r="C8485" s="2">
        <f>HYPERLINK("https://sao.dolgi.msk.ru/account/1404135977/", 1404135977)</f>
        <v>1404135977</v>
      </c>
      <c r="D8485">
        <v>0</v>
      </c>
    </row>
    <row r="8486" spans="1:4" hidden="1" x14ac:dyDescent="0.25">
      <c r="A8486" t="s">
        <v>686</v>
      </c>
      <c r="B8486" t="s">
        <v>107</v>
      </c>
      <c r="C8486" s="2">
        <f>HYPERLINK("https://sao.dolgi.msk.ru/account/1404136582/", 1404136582)</f>
        <v>1404136582</v>
      </c>
      <c r="D8486">
        <v>-7332.18</v>
      </c>
    </row>
    <row r="8487" spans="1:4" hidden="1" x14ac:dyDescent="0.25">
      <c r="A8487" t="s">
        <v>686</v>
      </c>
      <c r="B8487" t="s">
        <v>108</v>
      </c>
      <c r="C8487" s="2">
        <f>HYPERLINK("https://sao.dolgi.msk.ru/account/1404136523/", 1404136523)</f>
        <v>1404136523</v>
      </c>
      <c r="D8487">
        <v>-6131.32</v>
      </c>
    </row>
    <row r="8488" spans="1:4" x14ac:dyDescent="0.25">
      <c r="A8488" t="s">
        <v>686</v>
      </c>
      <c r="B8488" t="s">
        <v>109</v>
      </c>
      <c r="C8488" s="2">
        <f>HYPERLINK("https://sao.dolgi.msk.ru/account/1404135686/", 1404135686)</f>
        <v>1404135686</v>
      </c>
      <c r="D8488">
        <v>15632.64</v>
      </c>
    </row>
    <row r="8489" spans="1:4" hidden="1" x14ac:dyDescent="0.25">
      <c r="A8489" t="s">
        <v>686</v>
      </c>
      <c r="B8489" t="s">
        <v>110</v>
      </c>
      <c r="C8489" s="2">
        <f>HYPERLINK("https://sao.dolgi.msk.ru/account/1404136603/", 1404136603)</f>
        <v>1404136603</v>
      </c>
      <c r="D8489">
        <v>-5738.49</v>
      </c>
    </row>
    <row r="8490" spans="1:4" hidden="1" x14ac:dyDescent="0.25">
      <c r="A8490" t="s">
        <v>686</v>
      </c>
      <c r="B8490" t="s">
        <v>111</v>
      </c>
      <c r="C8490" s="2">
        <f>HYPERLINK("https://sao.dolgi.msk.ru/account/1404136902/", 1404136902)</f>
        <v>1404136902</v>
      </c>
      <c r="D8490">
        <v>0</v>
      </c>
    </row>
    <row r="8491" spans="1:4" hidden="1" x14ac:dyDescent="0.25">
      <c r="A8491" t="s">
        <v>686</v>
      </c>
      <c r="B8491" t="s">
        <v>112</v>
      </c>
      <c r="C8491" s="2">
        <f>HYPERLINK("https://sao.dolgi.msk.ru/account/1404135694/", 1404135694)</f>
        <v>1404135694</v>
      </c>
      <c r="D8491">
        <v>-5999.8</v>
      </c>
    </row>
    <row r="8492" spans="1:4" hidden="1" x14ac:dyDescent="0.25">
      <c r="A8492" t="s">
        <v>686</v>
      </c>
      <c r="B8492" t="s">
        <v>113</v>
      </c>
      <c r="C8492" s="2">
        <f>HYPERLINK("https://sao.dolgi.msk.ru/account/1404136806/", 1404136806)</f>
        <v>1404136806</v>
      </c>
      <c r="D8492">
        <v>-5964.2</v>
      </c>
    </row>
    <row r="8493" spans="1:4" hidden="1" x14ac:dyDescent="0.25">
      <c r="A8493" t="s">
        <v>686</v>
      </c>
      <c r="B8493" t="s">
        <v>114</v>
      </c>
      <c r="C8493" s="2">
        <f>HYPERLINK("https://sao.dolgi.msk.ru/account/1404135627/", 1404135627)</f>
        <v>1404135627</v>
      </c>
      <c r="D8493">
        <v>-5365.82</v>
      </c>
    </row>
    <row r="8494" spans="1:4" x14ac:dyDescent="0.25">
      <c r="A8494" t="s">
        <v>686</v>
      </c>
      <c r="B8494" t="s">
        <v>115</v>
      </c>
      <c r="C8494" s="2">
        <f>HYPERLINK("https://sao.dolgi.msk.ru/account/1404136611/", 1404136611)</f>
        <v>1404136611</v>
      </c>
      <c r="D8494">
        <v>8996.61</v>
      </c>
    </row>
    <row r="8495" spans="1:4" hidden="1" x14ac:dyDescent="0.25">
      <c r="A8495" t="s">
        <v>686</v>
      </c>
      <c r="B8495" t="s">
        <v>116</v>
      </c>
      <c r="C8495" s="2">
        <f>HYPERLINK("https://sao.dolgi.msk.ru/account/1404135985/", 1404135985)</f>
        <v>1404135985</v>
      </c>
      <c r="D8495">
        <v>-129.9</v>
      </c>
    </row>
    <row r="8496" spans="1:4" hidden="1" x14ac:dyDescent="0.25">
      <c r="A8496" t="s">
        <v>686</v>
      </c>
      <c r="B8496" t="s">
        <v>117</v>
      </c>
      <c r="C8496" s="2">
        <f>HYPERLINK("https://sao.dolgi.msk.ru/account/1404135707/", 1404135707)</f>
        <v>1404135707</v>
      </c>
      <c r="D8496">
        <v>0</v>
      </c>
    </row>
    <row r="8497" spans="1:4" hidden="1" x14ac:dyDescent="0.25">
      <c r="A8497" t="s">
        <v>686</v>
      </c>
      <c r="B8497" t="s">
        <v>118</v>
      </c>
      <c r="C8497" s="2">
        <f>HYPERLINK("https://sao.dolgi.msk.ru/account/1404135715/", 1404135715)</f>
        <v>1404135715</v>
      </c>
      <c r="D8497">
        <v>-3737.75</v>
      </c>
    </row>
    <row r="8498" spans="1:4" hidden="1" x14ac:dyDescent="0.25">
      <c r="A8498" t="s">
        <v>686</v>
      </c>
      <c r="B8498" t="s">
        <v>119</v>
      </c>
      <c r="C8498" s="2">
        <f>HYPERLINK("https://sao.dolgi.msk.ru/account/1404135993/", 1404135993)</f>
        <v>1404135993</v>
      </c>
      <c r="D8498">
        <v>-5952.45</v>
      </c>
    </row>
    <row r="8499" spans="1:4" x14ac:dyDescent="0.25">
      <c r="A8499" t="s">
        <v>686</v>
      </c>
      <c r="B8499" t="s">
        <v>120</v>
      </c>
      <c r="C8499" s="2">
        <f>HYPERLINK("https://sao.dolgi.msk.ru/account/1404135563/", 1404135563)</f>
        <v>1404135563</v>
      </c>
      <c r="D8499">
        <v>7432.35</v>
      </c>
    </row>
    <row r="8500" spans="1:4" hidden="1" x14ac:dyDescent="0.25">
      <c r="A8500" t="s">
        <v>686</v>
      </c>
      <c r="B8500" t="s">
        <v>121</v>
      </c>
      <c r="C8500" s="2">
        <f>HYPERLINK("https://sao.dolgi.msk.ru/account/1404136443/", 1404136443)</f>
        <v>1404136443</v>
      </c>
      <c r="D8500">
        <v>-4975.03</v>
      </c>
    </row>
    <row r="8501" spans="1:4" hidden="1" x14ac:dyDescent="0.25">
      <c r="A8501" t="s">
        <v>686</v>
      </c>
      <c r="B8501" t="s">
        <v>122</v>
      </c>
      <c r="C8501" s="2">
        <f>HYPERLINK("https://sao.dolgi.msk.ru/account/1404136005/", 1404136005)</f>
        <v>1404136005</v>
      </c>
      <c r="D8501">
        <v>-5292.64</v>
      </c>
    </row>
    <row r="8502" spans="1:4" x14ac:dyDescent="0.25">
      <c r="A8502" t="s">
        <v>686</v>
      </c>
      <c r="B8502" t="s">
        <v>123</v>
      </c>
      <c r="C8502" s="2">
        <f>HYPERLINK("https://sao.dolgi.msk.ru/account/1404135846/", 1404135846)</f>
        <v>1404135846</v>
      </c>
      <c r="D8502">
        <v>14915.32</v>
      </c>
    </row>
    <row r="8503" spans="1:4" hidden="1" x14ac:dyDescent="0.25">
      <c r="A8503" t="s">
        <v>686</v>
      </c>
      <c r="B8503" t="s">
        <v>124</v>
      </c>
      <c r="C8503" s="2">
        <f>HYPERLINK("https://sao.dolgi.msk.ru/account/1404136187/", 1404136187)</f>
        <v>1404136187</v>
      </c>
      <c r="D8503">
        <v>-7418.75</v>
      </c>
    </row>
    <row r="8504" spans="1:4" hidden="1" x14ac:dyDescent="0.25">
      <c r="A8504" t="s">
        <v>686</v>
      </c>
      <c r="B8504" t="s">
        <v>125</v>
      </c>
      <c r="C8504" s="2">
        <f>HYPERLINK("https://sao.dolgi.msk.ru/account/1404136195/", 1404136195)</f>
        <v>1404136195</v>
      </c>
      <c r="D8504">
        <v>-8379.7000000000007</v>
      </c>
    </row>
    <row r="8505" spans="1:4" hidden="1" x14ac:dyDescent="0.25">
      <c r="A8505" t="s">
        <v>686</v>
      </c>
      <c r="B8505" t="s">
        <v>126</v>
      </c>
      <c r="C8505" s="2">
        <f>HYPERLINK("https://sao.dolgi.msk.ru/account/1404136072/", 1404136072)</f>
        <v>1404136072</v>
      </c>
      <c r="D8505">
        <v>-2656.46</v>
      </c>
    </row>
    <row r="8506" spans="1:4" hidden="1" x14ac:dyDescent="0.25">
      <c r="A8506" t="s">
        <v>686</v>
      </c>
      <c r="B8506" t="s">
        <v>127</v>
      </c>
      <c r="C8506" s="2">
        <f>HYPERLINK("https://sao.dolgi.msk.ru/account/1404136814/", 1404136814)</f>
        <v>1404136814</v>
      </c>
      <c r="D8506">
        <v>-3971.75</v>
      </c>
    </row>
    <row r="8507" spans="1:4" hidden="1" x14ac:dyDescent="0.25">
      <c r="A8507" t="s">
        <v>686</v>
      </c>
      <c r="B8507" t="s">
        <v>128</v>
      </c>
      <c r="C8507" s="2">
        <f>HYPERLINK("https://sao.dolgi.msk.ru/account/1404135723/", 1404135723)</f>
        <v>1404135723</v>
      </c>
      <c r="D8507">
        <v>-6345.89</v>
      </c>
    </row>
    <row r="8508" spans="1:4" x14ac:dyDescent="0.25">
      <c r="A8508" t="s">
        <v>686</v>
      </c>
      <c r="B8508" t="s">
        <v>129</v>
      </c>
      <c r="C8508" s="2">
        <f>HYPERLINK("https://sao.dolgi.msk.ru/account/1404137016/", 1404137016)</f>
        <v>1404137016</v>
      </c>
      <c r="D8508">
        <v>20977</v>
      </c>
    </row>
    <row r="8509" spans="1:4" x14ac:dyDescent="0.25">
      <c r="A8509" t="s">
        <v>686</v>
      </c>
      <c r="B8509" t="s">
        <v>130</v>
      </c>
      <c r="C8509" s="2">
        <f>HYPERLINK("https://sao.dolgi.msk.ru/account/1404135571/", 1404135571)</f>
        <v>1404135571</v>
      </c>
      <c r="D8509">
        <v>17306.72</v>
      </c>
    </row>
    <row r="8510" spans="1:4" hidden="1" x14ac:dyDescent="0.25">
      <c r="A8510" t="s">
        <v>686</v>
      </c>
      <c r="B8510" t="s">
        <v>131</v>
      </c>
      <c r="C8510" s="2">
        <f>HYPERLINK("https://sao.dolgi.msk.ru/account/1404136822/", 1404136822)</f>
        <v>1404136822</v>
      </c>
      <c r="D8510">
        <v>-7679.96</v>
      </c>
    </row>
    <row r="8511" spans="1:4" hidden="1" x14ac:dyDescent="0.25">
      <c r="A8511" t="s">
        <v>686</v>
      </c>
      <c r="B8511" t="s">
        <v>132</v>
      </c>
      <c r="C8511" s="2">
        <f>HYPERLINK("https://sao.dolgi.msk.ru/account/1404136355/", 1404136355)</f>
        <v>1404136355</v>
      </c>
      <c r="D8511">
        <v>-7095.97</v>
      </c>
    </row>
    <row r="8512" spans="1:4" hidden="1" x14ac:dyDescent="0.25">
      <c r="A8512" t="s">
        <v>686</v>
      </c>
      <c r="B8512" t="s">
        <v>133</v>
      </c>
      <c r="C8512" s="2">
        <f>HYPERLINK("https://sao.dolgi.msk.ru/account/1404136494/", 1404136494)</f>
        <v>1404136494</v>
      </c>
      <c r="D8512">
        <v>-6319.77</v>
      </c>
    </row>
    <row r="8513" spans="1:4" x14ac:dyDescent="0.25">
      <c r="A8513" t="s">
        <v>686</v>
      </c>
      <c r="B8513" t="s">
        <v>134</v>
      </c>
      <c r="C8513" s="2">
        <f>HYPERLINK("https://sao.dolgi.msk.ru/account/1404136996/", 1404136996)</f>
        <v>1404136996</v>
      </c>
      <c r="D8513">
        <v>7426.61</v>
      </c>
    </row>
    <row r="8514" spans="1:4" hidden="1" x14ac:dyDescent="0.25">
      <c r="A8514" t="s">
        <v>686</v>
      </c>
      <c r="B8514" t="s">
        <v>135</v>
      </c>
      <c r="C8514" s="2">
        <f>HYPERLINK("https://sao.dolgi.msk.ru/account/1404136363/", 1404136363)</f>
        <v>1404136363</v>
      </c>
      <c r="D8514">
        <v>-3138.66</v>
      </c>
    </row>
    <row r="8515" spans="1:4" hidden="1" x14ac:dyDescent="0.25">
      <c r="A8515" t="s">
        <v>686</v>
      </c>
      <c r="B8515" t="s">
        <v>136</v>
      </c>
      <c r="C8515" s="2">
        <f>HYPERLINK("https://sao.dolgi.msk.ru/account/1404137243/", 1404137243)</f>
        <v>1404137243</v>
      </c>
      <c r="D8515">
        <v>-8017.44</v>
      </c>
    </row>
    <row r="8516" spans="1:4" x14ac:dyDescent="0.25">
      <c r="A8516" t="s">
        <v>686</v>
      </c>
      <c r="B8516" t="s">
        <v>137</v>
      </c>
      <c r="C8516" s="2">
        <f>HYPERLINK("https://sao.dolgi.msk.ru/account/1404136371/", 1404136371)</f>
        <v>1404136371</v>
      </c>
      <c r="D8516">
        <v>6391.45</v>
      </c>
    </row>
    <row r="8517" spans="1:4" hidden="1" x14ac:dyDescent="0.25">
      <c r="A8517" t="s">
        <v>686</v>
      </c>
      <c r="B8517" t="s">
        <v>138</v>
      </c>
      <c r="C8517" s="2">
        <f>HYPERLINK("https://sao.dolgi.msk.ru/account/1404136398/", 1404136398)</f>
        <v>1404136398</v>
      </c>
      <c r="D8517">
        <v>-7135.85</v>
      </c>
    </row>
    <row r="8518" spans="1:4" hidden="1" x14ac:dyDescent="0.25">
      <c r="A8518" t="s">
        <v>686</v>
      </c>
      <c r="B8518" t="s">
        <v>139</v>
      </c>
      <c r="C8518" s="2">
        <f>HYPERLINK("https://sao.dolgi.msk.ru/account/1404135731/", 1404135731)</f>
        <v>1404135731</v>
      </c>
      <c r="D8518">
        <v>-5994.73</v>
      </c>
    </row>
    <row r="8519" spans="1:4" x14ac:dyDescent="0.25">
      <c r="A8519" t="s">
        <v>686</v>
      </c>
      <c r="B8519" t="s">
        <v>140</v>
      </c>
      <c r="C8519" s="2">
        <f>HYPERLINK("https://sao.dolgi.msk.ru/account/1404137251/", 1404137251)</f>
        <v>1404137251</v>
      </c>
      <c r="D8519">
        <v>74147.34</v>
      </c>
    </row>
    <row r="8520" spans="1:4" hidden="1" x14ac:dyDescent="0.25">
      <c r="A8520" t="s">
        <v>686</v>
      </c>
      <c r="B8520" t="s">
        <v>141</v>
      </c>
      <c r="C8520" s="2">
        <f>HYPERLINK("https://sao.dolgi.msk.ru/account/1404136208/", 1404136208)</f>
        <v>1404136208</v>
      </c>
      <c r="D8520">
        <v>-112.32</v>
      </c>
    </row>
    <row r="8521" spans="1:4" hidden="1" x14ac:dyDescent="0.25">
      <c r="A8521" t="s">
        <v>686</v>
      </c>
      <c r="B8521" t="s">
        <v>142</v>
      </c>
      <c r="C8521" s="2">
        <f>HYPERLINK("https://sao.dolgi.msk.ru/account/1404135758/", 1404135758)</f>
        <v>1404135758</v>
      </c>
      <c r="D8521">
        <v>-6923.14</v>
      </c>
    </row>
    <row r="8522" spans="1:4" hidden="1" x14ac:dyDescent="0.25">
      <c r="A8522" t="s">
        <v>686</v>
      </c>
      <c r="B8522" t="s">
        <v>143</v>
      </c>
      <c r="C8522" s="2">
        <f>HYPERLINK("https://sao.dolgi.msk.ru/account/1404135539/", 1404135539)</f>
        <v>1404135539</v>
      </c>
      <c r="D8522">
        <v>0</v>
      </c>
    </row>
    <row r="8523" spans="1:4" hidden="1" x14ac:dyDescent="0.25">
      <c r="A8523" t="s">
        <v>686</v>
      </c>
      <c r="B8523" t="s">
        <v>144</v>
      </c>
      <c r="C8523" s="2">
        <f>HYPERLINK("https://sao.dolgi.msk.ru/account/1404137091/", 1404137091)</f>
        <v>1404137091</v>
      </c>
      <c r="D8523">
        <v>-60137.3</v>
      </c>
    </row>
    <row r="8524" spans="1:4" hidden="1" x14ac:dyDescent="0.25">
      <c r="A8524" t="s">
        <v>686</v>
      </c>
      <c r="B8524" t="s">
        <v>145</v>
      </c>
      <c r="C8524" s="2">
        <f>HYPERLINK("https://sao.dolgi.msk.ru/account/1404137067/", 1404137067)</f>
        <v>1404137067</v>
      </c>
      <c r="D8524">
        <v>-8212.66</v>
      </c>
    </row>
    <row r="8525" spans="1:4" hidden="1" x14ac:dyDescent="0.25">
      <c r="A8525" t="s">
        <v>686</v>
      </c>
      <c r="B8525" t="s">
        <v>146</v>
      </c>
      <c r="C8525" s="2">
        <f>HYPERLINK("https://sao.dolgi.msk.ru/account/1404136419/", 1404136419)</f>
        <v>1404136419</v>
      </c>
      <c r="D8525">
        <v>-9191.4599999999991</v>
      </c>
    </row>
    <row r="8526" spans="1:4" hidden="1" x14ac:dyDescent="0.25">
      <c r="A8526" t="s">
        <v>686</v>
      </c>
      <c r="B8526" t="s">
        <v>147</v>
      </c>
      <c r="C8526" s="2">
        <f>HYPERLINK("https://sao.dolgi.msk.ru/account/1404135766/", 1404135766)</f>
        <v>1404135766</v>
      </c>
      <c r="D8526">
        <v>-4531.12</v>
      </c>
    </row>
    <row r="8527" spans="1:4" hidden="1" x14ac:dyDescent="0.25">
      <c r="A8527" t="s">
        <v>686</v>
      </c>
      <c r="B8527" t="s">
        <v>148</v>
      </c>
      <c r="C8527" s="2">
        <f>HYPERLINK("https://sao.dolgi.msk.ru/account/1404136013/", 1404136013)</f>
        <v>1404136013</v>
      </c>
      <c r="D8527">
        <v>-3754.35</v>
      </c>
    </row>
    <row r="8528" spans="1:4" hidden="1" x14ac:dyDescent="0.25">
      <c r="A8528" t="s">
        <v>686</v>
      </c>
      <c r="B8528" t="s">
        <v>149</v>
      </c>
      <c r="C8528" s="2">
        <f>HYPERLINK("https://sao.dolgi.msk.ru/account/1404136312/", 1404136312)</f>
        <v>1404136312</v>
      </c>
      <c r="D8528">
        <v>-3857.56</v>
      </c>
    </row>
    <row r="8529" spans="1:4" hidden="1" x14ac:dyDescent="0.25">
      <c r="A8529" t="s">
        <v>686</v>
      </c>
      <c r="B8529" t="s">
        <v>150</v>
      </c>
      <c r="C8529" s="2">
        <f>HYPERLINK("https://sao.dolgi.msk.ru/account/1404136232/", 1404136232)</f>
        <v>1404136232</v>
      </c>
      <c r="D8529">
        <v>0</v>
      </c>
    </row>
    <row r="8530" spans="1:4" hidden="1" x14ac:dyDescent="0.25">
      <c r="A8530" t="s">
        <v>686</v>
      </c>
      <c r="B8530" t="s">
        <v>151</v>
      </c>
      <c r="C8530" s="2">
        <f>HYPERLINK("https://sao.dolgi.msk.ru/account/1404135926/", 1404135926)</f>
        <v>1404135926</v>
      </c>
      <c r="D8530">
        <v>-2358.1799999999998</v>
      </c>
    </row>
    <row r="8531" spans="1:4" hidden="1" x14ac:dyDescent="0.25">
      <c r="A8531" t="s">
        <v>687</v>
      </c>
      <c r="B8531" t="s">
        <v>5</v>
      </c>
      <c r="C8531" s="2">
        <f>HYPERLINK("https://sao.dolgi.msk.ru/account/1404172532/", 1404172532)</f>
        <v>1404172532</v>
      </c>
      <c r="D8531">
        <v>-5807.34</v>
      </c>
    </row>
    <row r="8532" spans="1:4" x14ac:dyDescent="0.25">
      <c r="A8532" t="s">
        <v>687</v>
      </c>
      <c r="B8532" t="s">
        <v>6</v>
      </c>
      <c r="C8532" s="2">
        <f>HYPERLINK("https://sao.dolgi.msk.ru/account/1404172241/", 1404172241)</f>
        <v>1404172241</v>
      </c>
      <c r="D8532">
        <v>41791.25</v>
      </c>
    </row>
    <row r="8533" spans="1:4" x14ac:dyDescent="0.25">
      <c r="A8533" t="s">
        <v>687</v>
      </c>
      <c r="B8533" t="s">
        <v>7</v>
      </c>
      <c r="C8533" s="2">
        <f>HYPERLINK("https://sao.dolgi.msk.ru/account/1404172751/", 1404172751)</f>
        <v>1404172751</v>
      </c>
      <c r="D8533">
        <v>9114.48</v>
      </c>
    </row>
    <row r="8534" spans="1:4" hidden="1" x14ac:dyDescent="0.25">
      <c r="A8534" t="s">
        <v>687</v>
      </c>
      <c r="B8534" t="s">
        <v>8</v>
      </c>
      <c r="C8534" s="2">
        <f>HYPERLINK("https://sao.dolgi.msk.ru/account/1404172399/", 1404172399)</f>
        <v>1404172399</v>
      </c>
      <c r="D8534">
        <v>-13546.14</v>
      </c>
    </row>
    <row r="8535" spans="1:4" x14ac:dyDescent="0.25">
      <c r="A8535" t="s">
        <v>687</v>
      </c>
      <c r="B8535" t="s">
        <v>9</v>
      </c>
      <c r="C8535" s="2">
        <f>HYPERLINK("https://sao.dolgi.msk.ru/account/1404172698/", 1404172698)</f>
        <v>1404172698</v>
      </c>
      <c r="D8535">
        <v>55627.040000000001</v>
      </c>
    </row>
    <row r="8536" spans="1:4" hidden="1" x14ac:dyDescent="0.25">
      <c r="A8536" t="s">
        <v>687</v>
      </c>
      <c r="B8536" t="s">
        <v>10</v>
      </c>
      <c r="C8536" s="2">
        <f>HYPERLINK("https://sao.dolgi.msk.ru/account/1404172444/", 1404172444)</f>
        <v>1404172444</v>
      </c>
      <c r="D8536">
        <v>0</v>
      </c>
    </row>
    <row r="8537" spans="1:4" x14ac:dyDescent="0.25">
      <c r="A8537" t="s">
        <v>687</v>
      </c>
      <c r="B8537" t="s">
        <v>11</v>
      </c>
      <c r="C8537" s="2">
        <f>HYPERLINK("https://sao.dolgi.msk.ru/account/1404172452/", 1404172452)</f>
        <v>1404172452</v>
      </c>
      <c r="D8537">
        <v>20987.41</v>
      </c>
    </row>
    <row r="8538" spans="1:4" hidden="1" x14ac:dyDescent="0.25">
      <c r="A8538" t="s">
        <v>687</v>
      </c>
      <c r="B8538" t="s">
        <v>12</v>
      </c>
      <c r="C8538" s="2">
        <f>HYPERLINK("https://sao.dolgi.msk.ru/account/1404172479/", 1404172479)</f>
        <v>1404172479</v>
      </c>
      <c r="D8538">
        <v>0</v>
      </c>
    </row>
    <row r="8539" spans="1:4" x14ac:dyDescent="0.25">
      <c r="A8539" t="s">
        <v>687</v>
      </c>
      <c r="B8539" t="s">
        <v>13</v>
      </c>
      <c r="C8539" s="2">
        <f>HYPERLINK("https://sao.dolgi.msk.ru/account/1404172487/", 1404172487)</f>
        <v>1404172487</v>
      </c>
      <c r="D8539">
        <v>1738.75</v>
      </c>
    </row>
    <row r="8540" spans="1:4" x14ac:dyDescent="0.25">
      <c r="A8540" t="s">
        <v>687</v>
      </c>
      <c r="B8540" t="s">
        <v>14</v>
      </c>
      <c r="C8540" s="2">
        <f>HYPERLINK("https://sao.dolgi.msk.ru/account/1404172495/", 1404172495)</f>
        <v>1404172495</v>
      </c>
      <c r="D8540">
        <v>6726.57</v>
      </c>
    </row>
    <row r="8541" spans="1:4" x14ac:dyDescent="0.25">
      <c r="A8541" t="s">
        <v>687</v>
      </c>
      <c r="B8541" t="s">
        <v>15</v>
      </c>
      <c r="C8541" s="2">
        <f>HYPERLINK("https://sao.dolgi.msk.ru/account/1404172786/", 1404172786)</f>
        <v>1404172786</v>
      </c>
      <c r="D8541">
        <v>38437.15</v>
      </c>
    </row>
    <row r="8542" spans="1:4" hidden="1" x14ac:dyDescent="0.25">
      <c r="A8542" t="s">
        <v>687</v>
      </c>
      <c r="B8542" t="s">
        <v>16</v>
      </c>
      <c r="C8542" s="2">
        <f>HYPERLINK("https://sao.dolgi.msk.ru/account/1404172284/", 1404172284)</f>
        <v>1404172284</v>
      </c>
      <c r="D8542">
        <v>-5340.28</v>
      </c>
    </row>
    <row r="8543" spans="1:4" x14ac:dyDescent="0.25">
      <c r="A8543" t="s">
        <v>687</v>
      </c>
      <c r="B8543" t="s">
        <v>17</v>
      </c>
      <c r="C8543" s="2">
        <f>HYPERLINK("https://sao.dolgi.msk.ru/account/1404172575/", 1404172575)</f>
        <v>1404172575</v>
      </c>
      <c r="D8543">
        <v>102007.8</v>
      </c>
    </row>
    <row r="8544" spans="1:4" hidden="1" x14ac:dyDescent="0.25">
      <c r="A8544" t="s">
        <v>687</v>
      </c>
      <c r="B8544" t="s">
        <v>18</v>
      </c>
      <c r="C8544" s="2">
        <f>HYPERLINK("https://sao.dolgi.msk.ru/account/1404172583/", 1404172583)</f>
        <v>1404172583</v>
      </c>
      <c r="D8544">
        <v>-7210.22</v>
      </c>
    </row>
    <row r="8545" spans="1:4" x14ac:dyDescent="0.25">
      <c r="A8545" t="s">
        <v>687</v>
      </c>
      <c r="B8545" t="s">
        <v>19</v>
      </c>
      <c r="C8545" s="2">
        <f>HYPERLINK("https://sao.dolgi.msk.ru/account/1404172508/", 1404172508)</f>
        <v>1404172508</v>
      </c>
      <c r="D8545">
        <v>9126.9599999999991</v>
      </c>
    </row>
    <row r="8546" spans="1:4" hidden="1" x14ac:dyDescent="0.25">
      <c r="A8546" t="s">
        <v>687</v>
      </c>
      <c r="B8546" t="s">
        <v>20</v>
      </c>
      <c r="C8546" s="2">
        <f>HYPERLINK("https://sao.dolgi.msk.ru/account/1404172292/", 1404172292)</f>
        <v>1404172292</v>
      </c>
      <c r="D8546">
        <v>0</v>
      </c>
    </row>
    <row r="8547" spans="1:4" hidden="1" x14ac:dyDescent="0.25">
      <c r="A8547" t="s">
        <v>687</v>
      </c>
      <c r="B8547" t="s">
        <v>21</v>
      </c>
      <c r="C8547" s="2">
        <f>HYPERLINK("https://sao.dolgi.msk.ru/account/1404172807/", 1404172807)</f>
        <v>1404172807</v>
      </c>
      <c r="D8547">
        <v>-6441.61</v>
      </c>
    </row>
    <row r="8548" spans="1:4" hidden="1" x14ac:dyDescent="0.25">
      <c r="A8548" t="s">
        <v>687</v>
      </c>
      <c r="B8548" t="s">
        <v>22</v>
      </c>
      <c r="C8548" s="2">
        <f>HYPERLINK("https://sao.dolgi.msk.ru/account/1404172823/", 1404172823)</f>
        <v>1404172823</v>
      </c>
      <c r="D8548">
        <v>-9571.66</v>
      </c>
    </row>
    <row r="8549" spans="1:4" hidden="1" x14ac:dyDescent="0.25">
      <c r="A8549" t="s">
        <v>687</v>
      </c>
      <c r="B8549" t="s">
        <v>23</v>
      </c>
      <c r="C8549" s="2">
        <f>HYPERLINK("https://sao.dolgi.msk.ru/account/1404172612/", 1404172612)</f>
        <v>1404172612</v>
      </c>
      <c r="D8549">
        <v>0</v>
      </c>
    </row>
    <row r="8550" spans="1:4" x14ac:dyDescent="0.25">
      <c r="A8550" t="s">
        <v>687</v>
      </c>
      <c r="B8550" t="s">
        <v>24</v>
      </c>
      <c r="C8550" s="2">
        <f>HYPERLINK("https://sao.dolgi.msk.ru/account/1404172313/", 1404172313)</f>
        <v>1404172313</v>
      </c>
      <c r="D8550">
        <v>21424.959999999999</v>
      </c>
    </row>
    <row r="8551" spans="1:4" hidden="1" x14ac:dyDescent="0.25">
      <c r="A8551" t="s">
        <v>687</v>
      </c>
      <c r="B8551" t="s">
        <v>25</v>
      </c>
      <c r="C8551" s="2">
        <f>HYPERLINK("https://sao.dolgi.msk.ru/account/1404172356/", 1404172356)</f>
        <v>1404172356</v>
      </c>
      <c r="D8551">
        <v>-2362.62</v>
      </c>
    </row>
    <row r="8552" spans="1:4" hidden="1" x14ac:dyDescent="0.25">
      <c r="A8552" t="s">
        <v>687</v>
      </c>
      <c r="B8552" t="s">
        <v>26</v>
      </c>
      <c r="C8552" s="2">
        <f>HYPERLINK("https://sao.dolgi.msk.ru/account/1404172815/", 1404172815)</f>
        <v>1404172815</v>
      </c>
      <c r="D8552">
        <v>-10310.379999999999</v>
      </c>
    </row>
    <row r="8553" spans="1:4" hidden="1" x14ac:dyDescent="0.25">
      <c r="A8553" t="s">
        <v>687</v>
      </c>
      <c r="B8553" t="s">
        <v>27</v>
      </c>
      <c r="C8553" s="2">
        <f>HYPERLINK("https://sao.dolgi.msk.ru/account/1404172364/", 1404172364)</f>
        <v>1404172364</v>
      </c>
      <c r="D8553">
        <v>-8337.2900000000009</v>
      </c>
    </row>
    <row r="8554" spans="1:4" hidden="1" x14ac:dyDescent="0.25">
      <c r="A8554" t="s">
        <v>687</v>
      </c>
      <c r="B8554" t="s">
        <v>28</v>
      </c>
      <c r="C8554" s="2">
        <f>HYPERLINK("https://sao.dolgi.msk.ru/account/1404172516/", 1404172516)</f>
        <v>1404172516</v>
      </c>
      <c r="D8554">
        <v>-5990.54</v>
      </c>
    </row>
    <row r="8555" spans="1:4" hidden="1" x14ac:dyDescent="0.25">
      <c r="A8555" t="s">
        <v>687</v>
      </c>
      <c r="B8555" t="s">
        <v>29</v>
      </c>
      <c r="C8555" s="2">
        <f>HYPERLINK("https://sao.dolgi.msk.ru/account/1404172735/", 1404172735)</f>
        <v>1404172735</v>
      </c>
      <c r="D8555">
        <v>-3328.3</v>
      </c>
    </row>
    <row r="8556" spans="1:4" hidden="1" x14ac:dyDescent="0.25">
      <c r="A8556" t="s">
        <v>687</v>
      </c>
      <c r="B8556" t="s">
        <v>30</v>
      </c>
      <c r="C8556" s="2">
        <f>HYPERLINK("https://sao.dolgi.msk.ru/account/1404173201/", 1404173201)</f>
        <v>1404173201</v>
      </c>
      <c r="D8556">
        <v>0</v>
      </c>
    </row>
    <row r="8557" spans="1:4" hidden="1" x14ac:dyDescent="0.25">
      <c r="A8557" t="s">
        <v>687</v>
      </c>
      <c r="B8557" t="s">
        <v>31</v>
      </c>
      <c r="C8557" s="2">
        <f>HYPERLINK("https://sao.dolgi.msk.ru/account/1404174132/", 1404174132)</f>
        <v>1404174132</v>
      </c>
      <c r="D8557">
        <v>-6415.96</v>
      </c>
    </row>
    <row r="8558" spans="1:4" x14ac:dyDescent="0.25">
      <c r="A8558" t="s">
        <v>687</v>
      </c>
      <c r="B8558" t="s">
        <v>32</v>
      </c>
      <c r="C8558" s="2">
        <f>HYPERLINK("https://sao.dolgi.msk.ru/account/1404173228/", 1404173228)</f>
        <v>1404173228</v>
      </c>
      <c r="D8558">
        <v>94444.85</v>
      </c>
    </row>
    <row r="8559" spans="1:4" hidden="1" x14ac:dyDescent="0.25">
      <c r="A8559" t="s">
        <v>687</v>
      </c>
      <c r="B8559" t="s">
        <v>33</v>
      </c>
      <c r="C8559" s="2">
        <f>HYPERLINK("https://sao.dolgi.msk.ru/account/1404173017/", 1404173017)</f>
        <v>1404173017</v>
      </c>
      <c r="D8559">
        <v>-7433.54</v>
      </c>
    </row>
    <row r="8560" spans="1:4" x14ac:dyDescent="0.25">
      <c r="A8560" t="s">
        <v>687</v>
      </c>
      <c r="B8560" t="s">
        <v>34</v>
      </c>
      <c r="C8560" s="2">
        <f>HYPERLINK("https://sao.dolgi.msk.ru/account/1404173236/", 1404173236)</f>
        <v>1404173236</v>
      </c>
      <c r="D8560">
        <v>43840.92</v>
      </c>
    </row>
    <row r="8561" spans="1:4" x14ac:dyDescent="0.25">
      <c r="A8561" t="s">
        <v>687</v>
      </c>
      <c r="B8561" t="s">
        <v>35</v>
      </c>
      <c r="C8561" s="2">
        <f>HYPERLINK("https://sao.dolgi.msk.ru/account/1404173244/", 1404173244)</f>
        <v>1404173244</v>
      </c>
      <c r="D8561">
        <v>46306.17</v>
      </c>
    </row>
    <row r="8562" spans="1:4" x14ac:dyDescent="0.25">
      <c r="A8562" t="s">
        <v>687</v>
      </c>
      <c r="B8562" t="s">
        <v>36</v>
      </c>
      <c r="C8562" s="2">
        <f>HYPERLINK("https://sao.dolgi.msk.ru/account/1404173113/", 1404173113)</f>
        <v>1404173113</v>
      </c>
      <c r="D8562">
        <v>54678.77</v>
      </c>
    </row>
    <row r="8563" spans="1:4" hidden="1" x14ac:dyDescent="0.25">
      <c r="A8563" t="s">
        <v>687</v>
      </c>
      <c r="B8563" t="s">
        <v>37</v>
      </c>
      <c r="C8563" s="2">
        <f>HYPERLINK("https://sao.dolgi.msk.ru/account/1404173121/", 1404173121)</f>
        <v>1404173121</v>
      </c>
      <c r="D8563">
        <v>0</v>
      </c>
    </row>
    <row r="8564" spans="1:4" hidden="1" x14ac:dyDescent="0.25">
      <c r="A8564" t="s">
        <v>687</v>
      </c>
      <c r="B8564" t="s">
        <v>38</v>
      </c>
      <c r="C8564" s="2">
        <f>HYPERLINK("https://sao.dolgi.msk.ru/account/1404172954/", 1404172954)</f>
        <v>1404172954</v>
      </c>
      <c r="D8564">
        <v>-24620.91</v>
      </c>
    </row>
    <row r="8565" spans="1:4" x14ac:dyDescent="0.25">
      <c r="A8565" t="s">
        <v>687</v>
      </c>
      <c r="B8565" t="s">
        <v>39</v>
      </c>
      <c r="C8565" s="2">
        <f>HYPERLINK("https://sao.dolgi.msk.ru/account/1404173156/", 1404173156)</f>
        <v>1404173156</v>
      </c>
      <c r="D8565">
        <v>33539.86</v>
      </c>
    </row>
    <row r="8566" spans="1:4" hidden="1" x14ac:dyDescent="0.25">
      <c r="A8566" t="s">
        <v>687</v>
      </c>
      <c r="B8566" t="s">
        <v>40</v>
      </c>
      <c r="C8566" s="2">
        <f>HYPERLINK("https://sao.dolgi.msk.ru/account/1404173252/", 1404173252)</f>
        <v>1404173252</v>
      </c>
      <c r="D8566">
        <v>-833.64</v>
      </c>
    </row>
    <row r="8567" spans="1:4" hidden="1" x14ac:dyDescent="0.25">
      <c r="A8567" t="s">
        <v>687</v>
      </c>
      <c r="B8567" t="s">
        <v>41</v>
      </c>
      <c r="C8567" s="2">
        <f>HYPERLINK("https://sao.dolgi.msk.ru/account/1404173164/", 1404173164)</f>
        <v>1404173164</v>
      </c>
      <c r="D8567">
        <v>-7906.51</v>
      </c>
    </row>
    <row r="8568" spans="1:4" x14ac:dyDescent="0.25">
      <c r="A8568" t="s">
        <v>687</v>
      </c>
      <c r="B8568" t="s">
        <v>42</v>
      </c>
      <c r="C8568" s="2">
        <f>HYPERLINK("https://sao.dolgi.msk.ru/account/1404173025/", 1404173025)</f>
        <v>1404173025</v>
      </c>
      <c r="D8568">
        <v>134279.64000000001</v>
      </c>
    </row>
    <row r="8569" spans="1:4" x14ac:dyDescent="0.25">
      <c r="A8569" t="s">
        <v>687</v>
      </c>
      <c r="B8569" t="s">
        <v>43</v>
      </c>
      <c r="C8569" s="2">
        <f>HYPERLINK("https://sao.dolgi.msk.ru/account/1404172962/", 1404172962)</f>
        <v>1404172962</v>
      </c>
      <c r="D8569">
        <v>30678.61</v>
      </c>
    </row>
    <row r="8570" spans="1:4" hidden="1" x14ac:dyDescent="0.25">
      <c r="A8570" t="s">
        <v>687</v>
      </c>
      <c r="B8570" t="s">
        <v>44</v>
      </c>
      <c r="C8570" s="2">
        <f>HYPERLINK("https://sao.dolgi.msk.ru/account/1404173033/", 1404173033)</f>
        <v>1404173033</v>
      </c>
      <c r="D8570">
        <v>-6968.68</v>
      </c>
    </row>
    <row r="8571" spans="1:4" x14ac:dyDescent="0.25">
      <c r="A8571" t="s">
        <v>687</v>
      </c>
      <c r="B8571" t="s">
        <v>45</v>
      </c>
      <c r="C8571" s="2">
        <f>HYPERLINK("https://sao.dolgi.msk.ru/account/1404173172/", 1404173172)</f>
        <v>1404173172</v>
      </c>
      <c r="D8571">
        <v>7955.39</v>
      </c>
    </row>
    <row r="8572" spans="1:4" hidden="1" x14ac:dyDescent="0.25">
      <c r="A8572" t="s">
        <v>687</v>
      </c>
      <c r="B8572" t="s">
        <v>46</v>
      </c>
      <c r="C8572" s="2">
        <f>HYPERLINK("https://sao.dolgi.msk.ru/account/1404173092/", 1404173092)</f>
        <v>1404173092</v>
      </c>
      <c r="D8572">
        <v>0</v>
      </c>
    </row>
    <row r="8573" spans="1:4" x14ac:dyDescent="0.25">
      <c r="A8573" t="s">
        <v>687</v>
      </c>
      <c r="B8573" t="s">
        <v>47</v>
      </c>
      <c r="C8573" s="2">
        <f>HYPERLINK("https://sao.dolgi.msk.ru/account/1404173041/", 1404173041)</f>
        <v>1404173041</v>
      </c>
      <c r="D8573">
        <v>8715.49</v>
      </c>
    </row>
    <row r="8574" spans="1:4" hidden="1" x14ac:dyDescent="0.25">
      <c r="A8574" t="s">
        <v>687</v>
      </c>
      <c r="B8574" t="s">
        <v>48</v>
      </c>
      <c r="C8574" s="2">
        <f>HYPERLINK("https://sao.dolgi.msk.ru/account/1404173009/", 1404173009)</f>
        <v>1404173009</v>
      </c>
      <c r="D8574">
        <v>-26396.12</v>
      </c>
    </row>
    <row r="8575" spans="1:4" hidden="1" x14ac:dyDescent="0.25">
      <c r="A8575" t="s">
        <v>687</v>
      </c>
      <c r="B8575" t="s">
        <v>49</v>
      </c>
      <c r="C8575" s="2">
        <f>HYPERLINK("https://sao.dolgi.msk.ru/account/1404173068/", 1404173068)</f>
        <v>1404173068</v>
      </c>
      <c r="D8575">
        <v>-5525.96</v>
      </c>
    </row>
    <row r="8576" spans="1:4" hidden="1" x14ac:dyDescent="0.25">
      <c r="A8576" t="s">
        <v>687</v>
      </c>
      <c r="B8576" t="s">
        <v>50</v>
      </c>
      <c r="C8576" s="2">
        <f>HYPERLINK("https://sao.dolgi.msk.ru/account/1404172997/", 1404172997)</f>
        <v>1404172997</v>
      </c>
      <c r="D8576">
        <v>0</v>
      </c>
    </row>
    <row r="8577" spans="1:4" hidden="1" x14ac:dyDescent="0.25">
      <c r="A8577" t="s">
        <v>687</v>
      </c>
      <c r="B8577" t="s">
        <v>51</v>
      </c>
      <c r="C8577" s="2">
        <f>HYPERLINK("https://sao.dolgi.msk.ru/account/1404173105/", 1404173105)</f>
        <v>1404173105</v>
      </c>
      <c r="D8577">
        <v>-859.61</v>
      </c>
    </row>
    <row r="8578" spans="1:4" x14ac:dyDescent="0.25">
      <c r="A8578" t="s">
        <v>687</v>
      </c>
      <c r="B8578" t="s">
        <v>52</v>
      </c>
      <c r="C8578" s="2">
        <f>HYPERLINK("https://sao.dolgi.msk.ru/account/1404173076/", 1404173076)</f>
        <v>1404173076</v>
      </c>
      <c r="D8578">
        <v>48064.09</v>
      </c>
    </row>
    <row r="8579" spans="1:4" hidden="1" x14ac:dyDescent="0.25">
      <c r="A8579" t="s">
        <v>687</v>
      </c>
      <c r="B8579" t="s">
        <v>53</v>
      </c>
      <c r="C8579" s="2">
        <f>HYPERLINK("https://sao.dolgi.msk.ru/account/1404173084/", 1404173084)</f>
        <v>1404173084</v>
      </c>
      <c r="D8579">
        <v>-23628.959999999999</v>
      </c>
    </row>
    <row r="8580" spans="1:4" hidden="1" x14ac:dyDescent="0.25">
      <c r="A8580" t="s">
        <v>687</v>
      </c>
      <c r="B8580" t="s">
        <v>54</v>
      </c>
      <c r="C8580" s="2">
        <f>HYPERLINK("https://sao.dolgi.msk.ru/account/1404173199/", 1404173199)</f>
        <v>1404173199</v>
      </c>
      <c r="D8580">
        <v>-6684.09</v>
      </c>
    </row>
    <row r="8581" spans="1:4" hidden="1" x14ac:dyDescent="0.25">
      <c r="A8581" t="s">
        <v>687</v>
      </c>
      <c r="B8581" t="s">
        <v>55</v>
      </c>
      <c r="C8581" s="2">
        <f>HYPERLINK("https://sao.dolgi.msk.ru/account/1404171775/", 1404171775)</f>
        <v>1404171775</v>
      </c>
      <c r="D8581">
        <v>0</v>
      </c>
    </row>
    <row r="8582" spans="1:4" hidden="1" x14ac:dyDescent="0.25">
      <c r="A8582" t="s">
        <v>687</v>
      </c>
      <c r="B8582" t="s">
        <v>56</v>
      </c>
      <c r="C8582" s="2">
        <f>HYPERLINK("https://sao.dolgi.msk.ru/account/1404172225/", 1404172225)</f>
        <v>1404172225</v>
      </c>
      <c r="D8582">
        <v>0</v>
      </c>
    </row>
    <row r="8583" spans="1:4" hidden="1" x14ac:dyDescent="0.25">
      <c r="A8583" t="s">
        <v>687</v>
      </c>
      <c r="B8583" t="s">
        <v>57</v>
      </c>
      <c r="C8583" s="2">
        <f>HYPERLINK("https://sao.dolgi.msk.ru/account/1404172233/", 1404172233)</f>
        <v>1404172233</v>
      </c>
      <c r="D8583">
        <v>-11823.64</v>
      </c>
    </row>
    <row r="8584" spans="1:4" x14ac:dyDescent="0.25">
      <c r="A8584" t="s">
        <v>687</v>
      </c>
      <c r="B8584" t="s">
        <v>58</v>
      </c>
      <c r="C8584" s="2">
        <f>HYPERLINK("https://sao.dolgi.msk.ru/account/1404172209/", 1404172209)</f>
        <v>1404172209</v>
      </c>
      <c r="D8584">
        <v>9252.1200000000008</v>
      </c>
    </row>
    <row r="8585" spans="1:4" x14ac:dyDescent="0.25">
      <c r="A8585" t="s">
        <v>687</v>
      </c>
      <c r="B8585" t="s">
        <v>59</v>
      </c>
      <c r="C8585" s="2">
        <f>HYPERLINK("https://sao.dolgi.msk.ru/account/1404171943/", 1404171943)</f>
        <v>1404171943</v>
      </c>
      <c r="D8585">
        <v>84468.31</v>
      </c>
    </row>
    <row r="8586" spans="1:4" hidden="1" x14ac:dyDescent="0.25">
      <c r="A8586" t="s">
        <v>687</v>
      </c>
      <c r="B8586" t="s">
        <v>60</v>
      </c>
      <c r="C8586" s="2">
        <f>HYPERLINK("https://sao.dolgi.msk.ru/account/1404171935/", 1404171935)</f>
        <v>1404171935</v>
      </c>
      <c r="D8586">
        <v>-5229</v>
      </c>
    </row>
    <row r="8587" spans="1:4" hidden="1" x14ac:dyDescent="0.25">
      <c r="A8587" t="s">
        <v>687</v>
      </c>
      <c r="B8587" t="s">
        <v>61</v>
      </c>
      <c r="C8587" s="2">
        <f>HYPERLINK("https://sao.dolgi.msk.ru/account/1404171978/", 1404171978)</f>
        <v>1404171978</v>
      </c>
      <c r="D8587">
        <v>-8282.25</v>
      </c>
    </row>
    <row r="8588" spans="1:4" x14ac:dyDescent="0.25">
      <c r="A8588" t="s">
        <v>687</v>
      </c>
      <c r="B8588" t="s">
        <v>62</v>
      </c>
      <c r="C8588" s="2">
        <f>HYPERLINK("https://sao.dolgi.msk.ru/account/1404171804/", 1404171804)</f>
        <v>1404171804</v>
      </c>
      <c r="D8588">
        <v>41830.230000000003</v>
      </c>
    </row>
    <row r="8589" spans="1:4" hidden="1" x14ac:dyDescent="0.25">
      <c r="A8589" t="s">
        <v>687</v>
      </c>
      <c r="B8589" t="s">
        <v>63</v>
      </c>
      <c r="C8589" s="2">
        <f>HYPERLINK("https://sao.dolgi.msk.ru/account/1404171986/", 1404171986)</f>
        <v>1404171986</v>
      </c>
      <c r="D8589">
        <v>-8774.16</v>
      </c>
    </row>
    <row r="8590" spans="1:4" hidden="1" x14ac:dyDescent="0.25">
      <c r="A8590" t="s">
        <v>687</v>
      </c>
      <c r="B8590" t="s">
        <v>64</v>
      </c>
      <c r="C8590" s="2">
        <f>HYPERLINK("https://sao.dolgi.msk.ru/account/1404171548/", 1404171548)</f>
        <v>1404171548</v>
      </c>
      <c r="D8590">
        <v>-5933.57</v>
      </c>
    </row>
    <row r="8591" spans="1:4" hidden="1" x14ac:dyDescent="0.25">
      <c r="A8591" t="s">
        <v>687</v>
      </c>
      <c r="B8591" t="s">
        <v>65</v>
      </c>
      <c r="C8591" s="2">
        <f>HYPERLINK("https://sao.dolgi.msk.ru/account/1404171812/", 1404171812)</f>
        <v>1404171812</v>
      </c>
      <c r="D8591">
        <v>0</v>
      </c>
    </row>
    <row r="8592" spans="1:4" hidden="1" x14ac:dyDescent="0.25">
      <c r="A8592" t="s">
        <v>687</v>
      </c>
      <c r="B8592" t="s">
        <v>66</v>
      </c>
      <c r="C8592" s="2">
        <f>HYPERLINK("https://sao.dolgi.msk.ru/account/1404171847/", 1404171847)</f>
        <v>1404171847</v>
      </c>
      <c r="D8592">
        <v>-6716.01</v>
      </c>
    </row>
    <row r="8593" spans="1:4" x14ac:dyDescent="0.25">
      <c r="A8593" t="s">
        <v>687</v>
      </c>
      <c r="B8593" t="s">
        <v>67</v>
      </c>
      <c r="C8593" s="2">
        <f>HYPERLINK("https://sao.dolgi.msk.ru/account/1404171871/", 1404171871)</f>
        <v>1404171871</v>
      </c>
      <c r="D8593">
        <v>45.44</v>
      </c>
    </row>
    <row r="8594" spans="1:4" hidden="1" x14ac:dyDescent="0.25">
      <c r="A8594" t="s">
        <v>687</v>
      </c>
      <c r="B8594" t="s">
        <v>68</v>
      </c>
      <c r="C8594" s="2">
        <f>HYPERLINK("https://sao.dolgi.msk.ru/account/1404172217/", 1404172217)</f>
        <v>1404172217</v>
      </c>
      <c r="D8594">
        <v>-8202.24</v>
      </c>
    </row>
    <row r="8595" spans="1:4" hidden="1" x14ac:dyDescent="0.25">
      <c r="A8595" t="s">
        <v>687</v>
      </c>
      <c r="B8595" t="s">
        <v>69</v>
      </c>
      <c r="C8595" s="2">
        <f>HYPERLINK("https://sao.dolgi.msk.ru/account/1404171994/", 1404171994)</f>
        <v>1404171994</v>
      </c>
      <c r="D8595">
        <v>-7434.15</v>
      </c>
    </row>
    <row r="8596" spans="1:4" hidden="1" x14ac:dyDescent="0.25">
      <c r="A8596" t="s">
        <v>687</v>
      </c>
      <c r="B8596" t="s">
        <v>70</v>
      </c>
      <c r="C8596" s="2">
        <f>HYPERLINK("https://sao.dolgi.msk.ru/account/1404171919/", 1404171919)</f>
        <v>1404171919</v>
      </c>
      <c r="D8596">
        <v>-9593.73</v>
      </c>
    </row>
    <row r="8597" spans="1:4" hidden="1" x14ac:dyDescent="0.25">
      <c r="A8597" t="s">
        <v>687</v>
      </c>
      <c r="B8597" t="s">
        <v>71</v>
      </c>
      <c r="C8597" s="2">
        <f>HYPERLINK("https://sao.dolgi.msk.ru/account/1404171951/", 1404171951)</f>
        <v>1404171951</v>
      </c>
      <c r="D8597">
        <v>-12189.99</v>
      </c>
    </row>
    <row r="8598" spans="1:4" hidden="1" x14ac:dyDescent="0.25">
      <c r="A8598" t="s">
        <v>687</v>
      </c>
      <c r="B8598" t="s">
        <v>72</v>
      </c>
      <c r="C8598" s="2">
        <f>HYPERLINK("https://sao.dolgi.msk.ru/account/1404172006/", 1404172006)</f>
        <v>1404172006</v>
      </c>
      <c r="D8598">
        <v>-841.23</v>
      </c>
    </row>
    <row r="8599" spans="1:4" hidden="1" x14ac:dyDescent="0.25">
      <c r="A8599" t="s">
        <v>687</v>
      </c>
      <c r="B8599" t="s">
        <v>73</v>
      </c>
      <c r="C8599" s="2">
        <f>HYPERLINK("https://sao.dolgi.msk.ru/account/1404172014/", 1404172014)</f>
        <v>1404172014</v>
      </c>
      <c r="D8599">
        <v>0</v>
      </c>
    </row>
    <row r="8600" spans="1:4" hidden="1" x14ac:dyDescent="0.25">
      <c r="A8600" t="s">
        <v>687</v>
      </c>
      <c r="B8600" t="s">
        <v>74</v>
      </c>
      <c r="C8600" s="2">
        <f>HYPERLINK("https://sao.dolgi.msk.ru/account/1404172022/", 1404172022)</f>
        <v>1404172022</v>
      </c>
      <c r="D8600">
        <v>-49282.43</v>
      </c>
    </row>
    <row r="8601" spans="1:4" x14ac:dyDescent="0.25">
      <c r="A8601" t="s">
        <v>687</v>
      </c>
      <c r="B8601" t="s">
        <v>75</v>
      </c>
      <c r="C8601" s="2">
        <f>HYPERLINK("https://sao.dolgi.msk.ru/account/1404171636/", 1404171636)</f>
        <v>1404171636</v>
      </c>
      <c r="D8601">
        <v>87743</v>
      </c>
    </row>
    <row r="8602" spans="1:4" x14ac:dyDescent="0.25">
      <c r="A8602" t="s">
        <v>687</v>
      </c>
      <c r="B8602" t="s">
        <v>76</v>
      </c>
      <c r="C8602" s="2">
        <f>HYPERLINK("https://sao.dolgi.msk.ru/account/1404172161/", 1404172161)</f>
        <v>1404172161</v>
      </c>
      <c r="D8602">
        <v>14315.41</v>
      </c>
    </row>
    <row r="8603" spans="1:4" hidden="1" x14ac:dyDescent="0.25">
      <c r="A8603" t="s">
        <v>687</v>
      </c>
      <c r="B8603" t="s">
        <v>77</v>
      </c>
      <c r="C8603" s="2">
        <f>HYPERLINK("https://sao.dolgi.msk.ru/account/1404172188/", 1404172188)</f>
        <v>1404172188</v>
      </c>
      <c r="D8603">
        <v>-6951.2</v>
      </c>
    </row>
    <row r="8604" spans="1:4" x14ac:dyDescent="0.25">
      <c r="A8604" t="s">
        <v>687</v>
      </c>
      <c r="B8604" t="s">
        <v>78</v>
      </c>
      <c r="C8604" s="2">
        <f>HYPERLINK("https://sao.dolgi.msk.ru/account/1404172196/", 1404172196)</f>
        <v>1404172196</v>
      </c>
      <c r="D8604">
        <v>57922.91</v>
      </c>
    </row>
    <row r="8605" spans="1:4" hidden="1" x14ac:dyDescent="0.25">
      <c r="A8605" t="s">
        <v>687</v>
      </c>
      <c r="B8605" t="s">
        <v>79</v>
      </c>
      <c r="C8605" s="2">
        <f>HYPERLINK("https://sao.dolgi.msk.ru/account/1404171767/", 1404171767)</f>
        <v>1404171767</v>
      </c>
      <c r="D8605">
        <v>-8614.7800000000007</v>
      </c>
    </row>
    <row r="8606" spans="1:4" x14ac:dyDescent="0.25">
      <c r="A8606" t="s">
        <v>687</v>
      </c>
      <c r="B8606" t="s">
        <v>80</v>
      </c>
      <c r="C8606" s="2">
        <f>HYPERLINK("https://sao.dolgi.msk.ru/account/1404173279/", 1404173279)</f>
        <v>1404173279</v>
      </c>
      <c r="D8606">
        <v>82324.179999999993</v>
      </c>
    </row>
    <row r="8607" spans="1:4" hidden="1" x14ac:dyDescent="0.25">
      <c r="A8607" t="s">
        <v>687</v>
      </c>
      <c r="B8607" t="s">
        <v>81</v>
      </c>
      <c r="C8607" s="2">
        <f>HYPERLINK("https://sao.dolgi.msk.ru/account/1404173287/", 1404173287)</f>
        <v>1404173287</v>
      </c>
      <c r="D8607">
        <v>-14790.43</v>
      </c>
    </row>
    <row r="8608" spans="1:4" x14ac:dyDescent="0.25">
      <c r="A8608" t="s">
        <v>687</v>
      </c>
      <c r="B8608" t="s">
        <v>82</v>
      </c>
      <c r="C8608" s="2">
        <f>HYPERLINK("https://sao.dolgi.msk.ru/account/1404173308/", 1404173308)</f>
        <v>1404173308</v>
      </c>
      <c r="D8608">
        <v>58927.19</v>
      </c>
    </row>
    <row r="8609" spans="1:4" hidden="1" x14ac:dyDescent="0.25">
      <c r="A8609" t="s">
        <v>687</v>
      </c>
      <c r="B8609" t="s">
        <v>83</v>
      </c>
      <c r="C8609" s="2">
        <f>HYPERLINK("https://sao.dolgi.msk.ru/account/1404173324/", 1404173324)</f>
        <v>1404173324</v>
      </c>
      <c r="D8609">
        <v>-5184.1099999999997</v>
      </c>
    </row>
    <row r="8610" spans="1:4" hidden="1" x14ac:dyDescent="0.25">
      <c r="A8610" t="s">
        <v>687</v>
      </c>
      <c r="B8610" t="s">
        <v>84</v>
      </c>
      <c r="C8610" s="2">
        <f>HYPERLINK("https://sao.dolgi.msk.ru/account/1404173316/", 1404173316)</f>
        <v>1404173316</v>
      </c>
      <c r="D8610">
        <v>-5746.91</v>
      </c>
    </row>
    <row r="8611" spans="1:4" x14ac:dyDescent="0.25">
      <c r="A8611" t="s">
        <v>687</v>
      </c>
      <c r="B8611" t="s">
        <v>85</v>
      </c>
      <c r="C8611" s="2">
        <f>HYPERLINK("https://sao.dolgi.msk.ru/account/1404173359/", 1404173359)</f>
        <v>1404173359</v>
      </c>
      <c r="D8611">
        <v>54126.25</v>
      </c>
    </row>
    <row r="8612" spans="1:4" hidden="1" x14ac:dyDescent="0.25">
      <c r="A8612" t="s">
        <v>687</v>
      </c>
      <c r="B8612" t="s">
        <v>86</v>
      </c>
      <c r="C8612" s="2">
        <f>HYPERLINK("https://sao.dolgi.msk.ru/account/1404174423/", 1404174423)</f>
        <v>1404174423</v>
      </c>
      <c r="D8612">
        <v>0</v>
      </c>
    </row>
    <row r="8613" spans="1:4" hidden="1" x14ac:dyDescent="0.25">
      <c r="A8613" t="s">
        <v>687</v>
      </c>
      <c r="B8613" t="s">
        <v>87</v>
      </c>
      <c r="C8613" s="2">
        <f>HYPERLINK("https://sao.dolgi.msk.ru/account/1404173367/", 1404173367)</f>
        <v>1404173367</v>
      </c>
      <c r="D8613">
        <v>0</v>
      </c>
    </row>
    <row r="8614" spans="1:4" hidden="1" x14ac:dyDescent="0.25">
      <c r="A8614" t="s">
        <v>687</v>
      </c>
      <c r="B8614" t="s">
        <v>88</v>
      </c>
      <c r="C8614" s="2">
        <f>HYPERLINK("https://sao.dolgi.msk.ru/account/1404173295/", 1404173295)</f>
        <v>1404173295</v>
      </c>
      <c r="D8614">
        <v>-6501.21</v>
      </c>
    </row>
    <row r="8615" spans="1:4" hidden="1" x14ac:dyDescent="0.25">
      <c r="A8615" t="s">
        <v>688</v>
      </c>
      <c r="B8615" t="s">
        <v>5</v>
      </c>
      <c r="C8615" s="2">
        <f>HYPERLINK("https://sao.dolgi.msk.ru/account/1404186723/", 1404186723)</f>
        <v>1404186723</v>
      </c>
      <c r="D8615">
        <v>-5468.73</v>
      </c>
    </row>
    <row r="8616" spans="1:4" x14ac:dyDescent="0.25">
      <c r="A8616" t="s">
        <v>688</v>
      </c>
      <c r="B8616" t="s">
        <v>6</v>
      </c>
      <c r="C8616" s="2">
        <f>HYPERLINK("https://sao.dolgi.msk.ru/account/1404185368/", 1404185368)</f>
        <v>1404185368</v>
      </c>
      <c r="D8616">
        <v>15560.35</v>
      </c>
    </row>
    <row r="8617" spans="1:4" hidden="1" x14ac:dyDescent="0.25">
      <c r="A8617" t="s">
        <v>688</v>
      </c>
      <c r="B8617" t="s">
        <v>7</v>
      </c>
      <c r="C8617" s="2">
        <f>HYPERLINK("https://sao.dolgi.msk.ru/account/1404186512/", 1404186512)</f>
        <v>1404186512</v>
      </c>
      <c r="D8617">
        <v>-7778.21</v>
      </c>
    </row>
    <row r="8618" spans="1:4" x14ac:dyDescent="0.25">
      <c r="A8618" t="s">
        <v>688</v>
      </c>
      <c r="B8618" t="s">
        <v>8</v>
      </c>
      <c r="C8618" s="2">
        <f>HYPERLINK("https://sao.dolgi.msk.ru/account/1404186934/", 1404186934)</f>
        <v>1404186934</v>
      </c>
      <c r="D8618">
        <v>8962.5300000000007</v>
      </c>
    </row>
    <row r="8619" spans="1:4" hidden="1" x14ac:dyDescent="0.25">
      <c r="A8619" t="s">
        <v>688</v>
      </c>
      <c r="B8619" t="s">
        <v>9</v>
      </c>
      <c r="C8619" s="2">
        <f>HYPERLINK("https://sao.dolgi.msk.ru/account/1404186133/", 1404186133)</f>
        <v>1404186133</v>
      </c>
      <c r="D8619">
        <v>0</v>
      </c>
    </row>
    <row r="8620" spans="1:4" hidden="1" x14ac:dyDescent="0.25">
      <c r="A8620" t="s">
        <v>688</v>
      </c>
      <c r="B8620" t="s">
        <v>10</v>
      </c>
      <c r="C8620" s="2">
        <f>HYPERLINK("https://sao.dolgi.msk.ru/account/1404185923/", 1404185923)</f>
        <v>1404185923</v>
      </c>
      <c r="D8620">
        <v>0</v>
      </c>
    </row>
    <row r="8621" spans="1:4" hidden="1" x14ac:dyDescent="0.25">
      <c r="A8621" t="s">
        <v>688</v>
      </c>
      <c r="B8621" t="s">
        <v>11</v>
      </c>
      <c r="C8621" s="2">
        <f>HYPERLINK("https://sao.dolgi.msk.ru/account/1404185421/", 1404185421)</f>
        <v>1404185421</v>
      </c>
      <c r="D8621">
        <v>-1861.76</v>
      </c>
    </row>
    <row r="8622" spans="1:4" hidden="1" x14ac:dyDescent="0.25">
      <c r="A8622" t="s">
        <v>688</v>
      </c>
      <c r="B8622" t="s">
        <v>12</v>
      </c>
      <c r="C8622" s="2">
        <f>HYPERLINK("https://sao.dolgi.msk.ru/account/1404186264/", 1404186264)</f>
        <v>1404186264</v>
      </c>
      <c r="D8622">
        <v>0</v>
      </c>
    </row>
    <row r="8623" spans="1:4" x14ac:dyDescent="0.25">
      <c r="A8623" t="s">
        <v>688</v>
      </c>
      <c r="B8623" t="s">
        <v>13</v>
      </c>
      <c r="C8623" s="2">
        <f>HYPERLINK("https://sao.dolgi.msk.ru/account/1404186926/", 1404186926)</f>
        <v>1404186926</v>
      </c>
      <c r="D8623">
        <v>16721.18</v>
      </c>
    </row>
    <row r="8624" spans="1:4" x14ac:dyDescent="0.25">
      <c r="A8624" t="s">
        <v>688</v>
      </c>
      <c r="B8624" t="s">
        <v>14</v>
      </c>
      <c r="C8624" s="2">
        <f>HYPERLINK("https://sao.dolgi.msk.ru/account/1404185536/", 1404185536)</f>
        <v>1404185536</v>
      </c>
      <c r="D8624">
        <v>83875.429999999993</v>
      </c>
    </row>
    <row r="8625" spans="1:4" hidden="1" x14ac:dyDescent="0.25">
      <c r="A8625" t="s">
        <v>688</v>
      </c>
      <c r="B8625" t="s">
        <v>15</v>
      </c>
      <c r="C8625" s="2">
        <f>HYPERLINK("https://sao.dolgi.msk.ru/account/1404186045/", 1404186045)</f>
        <v>1404186045</v>
      </c>
      <c r="D8625">
        <v>0</v>
      </c>
    </row>
    <row r="8626" spans="1:4" x14ac:dyDescent="0.25">
      <c r="A8626" t="s">
        <v>688</v>
      </c>
      <c r="B8626" t="s">
        <v>16</v>
      </c>
      <c r="C8626" s="2">
        <f>HYPERLINK("https://sao.dolgi.msk.ru/account/1404185819/", 1404185819)</f>
        <v>1404185819</v>
      </c>
      <c r="D8626">
        <v>17872.39</v>
      </c>
    </row>
    <row r="8627" spans="1:4" hidden="1" x14ac:dyDescent="0.25">
      <c r="A8627" t="s">
        <v>688</v>
      </c>
      <c r="B8627" t="s">
        <v>17</v>
      </c>
      <c r="C8627" s="2">
        <f>HYPERLINK("https://sao.dolgi.msk.ru/account/1404186483/", 1404186483)</f>
        <v>1404186483</v>
      </c>
      <c r="D8627">
        <v>0</v>
      </c>
    </row>
    <row r="8628" spans="1:4" hidden="1" x14ac:dyDescent="0.25">
      <c r="A8628" t="s">
        <v>688</v>
      </c>
      <c r="B8628" t="s">
        <v>18</v>
      </c>
      <c r="C8628" s="2">
        <f>HYPERLINK("https://sao.dolgi.msk.ru/account/1404185835/", 1404185835)</f>
        <v>1404185835</v>
      </c>
      <c r="D8628">
        <v>0</v>
      </c>
    </row>
    <row r="8629" spans="1:4" hidden="1" x14ac:dyDescent="0.25">
      <c r="A8629" t="s">
        <v>688</v>
      </c>
      <c r="B8629" t="s">
        <v>19</v>
      </c>
      <c r="C8629" s="2">
        <f>HYPERLINK("https://sao.dolgi.msk.ru/account/1404186678/", 1404186678)</f>
        <v>1404186678</v>
      </c>
      <c r="D8629">
        <v>0</v>
      </c>
    </row>
    <row r="8630" spans="1:4" x14ac:dyDescent="0.25">
      <c r="A8630" t="s">
        <v>688</v>
      </c>
      <c r="B8630" t="s">
        <v>20</v>
      </c>
      <c r="C8630" s="2">
        <f>HYPERLINK("https://sao.dolgi.msk.ru/account/1404187021/", 1404187021)</f>
        <v>1404187021</v>
      </c>
      <c r="D8630">
        <v>2262.23</v>
      </c>
    </row>
    <row r="8631" spans="1:4" hidden="1" x14ac:dyDescent="0.25">
      <c r="A8631" t="s">
        <v>688</v>
      </c>
      <c r="B8631" t="s">
        <v>21</v>
      </c>
      <c r="C8631" s="2">
        <f>HYPERLINK("https://sao.dolgi.msk.ru/account/1404186766/", 1404186766)</f>
        <v>1404186766</v>
      </c>
      <c r="D8631">
        <v>-4350.0600000000004</v>
      </c>
    </row>
    <row r="8632" spans="1:4" hidden="1" x14ac:dyDescent="0.25">
      <c r="A8632" t="s">
        <v>688</v>
      </c>
      <c r="B8632" t="s">
        <v>22</v>
      </c>
      <c r="C8632" s="2">
        <f>HYPERLINK("https://sao.dolgi.msk.ru/account/1404185878/", 1404185878)</f>
        <v>1404185878</v>
      </c>
      <c r="D8632">
        <v>-5006.3100000000004</v>
      </c>
    </row>
    <row r="8633" spans="1:4" hidden="1" x14ac:dyDescent="0.25">
      <c r="A8633" t="s">
        <v>688</v>
      </c>
      <c r="B8633" t="s">
        <v>23</v>
      </c>
      <c r="C8633" s="2">
        <f>HYPERLINK("https://sao.dolgi.msk.ru/account/1404185771/", 1404185771)</f>
        <v>1404185771</v>
      </c>
      <c r="D8633">
        <v>0</v>
      </c>
    </row>
    <row r="8634" spans="1:4" hidden="1" x14ac:dyDescent="0.25">
      <c r="A8634" t="s">
        <v>688</v>
      </c>
      <c r="B8634" t="s">
        <v>24</v>
      </c>
      <c r="C8634" s="2">
        <f>HYPERLINK("https://sao.dolgi.msk.ru/account/1404185552/", 1404185552)</f>
        <v>1404185552</v>
      </c>
      <c r="D8634">
        <v>-5555.5</v>
      </c>
    </row>
    <row r="8635" spans="1:4" hidden="1" x14ac:dyDescent="0.25">
      <c r="A8635" t="s">
        <v>688</v>
      </c>
      <c r="B8635" t="s">
        <v>25</v>
      </c>
      <c r="C8635" s="2">
        <f>HYPERLINK("https://sao.dolgi.msk.ru/account/1404185798/", 1404185798)</f>
        <v>1404185798</v>
      </c>
      <c r="D8635">
        <v>0</v>
      </c>
    </row>
    <row r="8636" spans="1:4" hidden="1" x14ac:dyDescent="0.25">
      <c r="A8636" t="s">
        <v>688</v>
      </c>
      <c r="B8636" t="s">
        <v>26</v>
      </c>
      <c r="C8636" s="2">
        <f>HYPERLINK("https://sao.dolgi.msk.ru/account/1404186424/", 1404186424)</f>
        <v>1404186424</v>
      </c>
      <c r="D8636">
        <v>0</v>
      </c>
    </row>
    <row r="8637" spans="1:4" hidden="1" x14ac:dyDescent="0.25">
      <c r="A8637" t="s">
        <v>688</v>
      </c>
      <c r="B8637" t="s">
        <v>27</v>
      </c>
      <c r="C8637" s="2">
        <f>HYPERLINK("https://sao.dolgi.msk.ru/account/1404186184/", 1404186184)</f>
        <v>1404186184</v>
      </c>
      <c r="D8637">
        <v>-2980.53</v>
      </c>
    </row>
    <row r="8638" spans="1:4" hidden="1" x14ac:dyDescent="0.25">
      <c r="A8638" t="s">
        <v>688</v>
      </c>
      <c r="B8638" t="s">
        <v>28</v>
      </c>
      <c r="C8638" s="2">
        <f>HYPERLINK("https://sao.dolgi.msk.ru/account/1404185739/", 1404185739)</f>
        <v>1404185739</v>
      </c>
      <c r="D8638">
        <v>0</v>
      </c>
    </row>
    <row r="8639" spans="1:4" hidden="1" x14ac:dyDescent="0.25">
      <c r="A8639" t="s">
        <v>688</v>
      </c>
      <c r="B8639" t="s">
        <v>29</v>
      </c>
      <c r="C8639" s="2">
        <f>HYPERLINK("https://sao.dolgi.msk.ru/account/1404186686/", 1404186686)</f>
        <v>1404186686</v>
      </c>
      <c r="D8639">
        <v>0</v>
      </c>
    </row>
    <row r="8640" spans="1:4" hidden="1" x14ac:dyDescent="0.25">
      <c r="A8640" t="s">
        <v>688</v>
      </c>
      <c r="B8640" t="s">
        <v>30</v>
      </c>
      <c r="C8640" s="2">
        <f>HYPERLINK("https://sao.dolgi.msk.ru/account/1404186694/", 1404186694)</f>
        <v>1404186694</v>
      </c>
      <c r="D8640">
        <v>0</v>
      </c>
    </row>
    <row r="8641" spans="1:4" hidden="1" x14ac:dyDescent="0.25">
      <c r="A8641" t="s">
        <v>688</v>
      </c>
      <c r="B8641" t="s">
        <v>31</v>
      </c>
      <c r="C8641" s="2">
        <f>HYPERLINK("https://sao.dolgi.msk.ru/account/1404186811/", 1404186811)</f>
        <v>1404186811</v>
      </c>
      <c r="D8641">
        <v>-3581.12</v>
      </c>
    </row>
    <row r="8642" spans="1:4" hidden="1" x14ac:dyDescent="0.25">
      <c r="A8642" t="s">
        <v>688</v>
      </c>
      <c r="B8642" t="s">
        <v>32</v>
      </c>
      <c r="C8642" s="2">
        <f>HYPERLINK("https://sao.dolgi.msk.ru/account/1404185608/", 1404185608)</f>
        <v>1404185608</v>
      </c>
      <c r="D8642">
        <v>0</v>
      </c>
    </row>
    <row r="8643" spans="1:4" hidden="1" x14ac:dyDescent="0.25">
      <c r="A8643" t="s">
        <v>688</v>
      </c>
      <c r="B8643" t="s">
        <v>33</v>
      </c>
      <c r="C8643" s="2">
        <f>HYPERLINK("https://sao.dolgi.msk.ru/account/1404185616/", 1404185616)</f>
        <v>1404185616</v>
      </c>
      <c r="D8643">
        <v>0</v>
      </c>
    </row>
    <row r="8644" spans="1:4" hidden="1" x14ac:dyDescent="0.25">
      <c r="A8644" t="s">
        <v>688</v>
      </c>
      <c r="B8644" t="s">
        <v>34</v>
      </c>
      <c r="C8644" s="2">
        <f>HYPERLINK("https://sao.dolgi.msk.ru/account/1404186395/", 1404186395)</f>
        <v>1404186395</v>
      </c>
      <c r="D8644">
        <v>0</v>
      </c>
    </row>
    <row r="8645" spans="1:4" hidden="1" x14ac:dyDescent="0.25">
      <c r="A8645" t="s">
        <v>688</v>
      </c>
      <c r="B8645" t="s">
        <v>35</v>
      </c>
      <c r="C8645" s="2">
        <f>HYPERLINK("https://sao.dolgi.msk.ru/account/1404186838/", 1404186838)</f>
        <v>1404186838</v>
      </c>
      <c r="D8645">
        <v>0</v>
      </c>
    </row>
    <row r="8646" spans="1:4" hidden="1" x14ac:dyDescent="0.25">
      <c r="A8646" t="s">
        <v>688</v>
      </c>
      <c r="B8646" t="s">
        <v>36</v>
      </c>
      <c r="C8646" s="2">
        <f>HYPERLINK("https://sao.dolgi.msk.ru/account/1404186846/", 1404186846)</f>
        <v>1404186846</v>
      </c>
      <c r="D8646">
        <v>0</v>
      </c>
    </row>
    <row r="8647" spans="1:4" hidden="1" x14ac:dyDescent="0.25">
      <c r="A8647" t="s">
        <v>688</v>
      </c>
      <c r="B8647" t="s">
        <v>37</v>
      </c>
      <c r="C8647" s="2">
        <f>HYPERLINK("https://sao.dolgi.msk.ru/account/1404185624/", 1404185624)</f>
        <v>1404185624</v>
      </c>
      <c r="D8647">
        <v>-7667.1</v>
      </c>
    </row>
    <row r="8648" spans="1:4" hidden="1" x14ac:dyDescent="0.25">
      <c r="A8648" t="s">
        <v>688</v>
      </c>
      <c r="B8648" t="s">
        <v>38</v>
      </c>
      <c r="C8648" s="2">
        <f>HYPERLINK("https://sao.dolgi.msk.ru/account/1404185894/", 1404185894)</f>
        <v>1404185894</v>
      </c>
      <c r="D8648">
        <v>0</v>
      </c>
    </row>
    <row r="8649" spans="1:4" hidden="1" x14ac:dyDescent="0.25">
      <c r="A8649" t="s">
        <v>688</v>
      </c>
      <c r="B8649" t="s">
        <v>39</v>
      </c>
      <c r="C8649" s="2">
        <f>HYPERLINK("https://sao.dolgi.msk.ru/account/1404186301/", 1404186301)</f>
        <v>1404186301</v>
      </c>
      <c r="D8649">
        <v>-3751.6</v>
      </c>
    </row>
    <row r="8650" spans="1:4" hidden="1" x14ac:dyDescent="0.25">
      <c r="A8650" t="s">
        <v>688</v>
      </c>
      <c r="B8650" t="s">
        <v>40</v>
      </c>
      <c r="C8650" s="2">
        <f>HYPERLINK("https://sao.dolgi.msk.ru/account/1404185376/", 1404185376)</f>
        <v>1404185376</v>
      </c>
      <c r="D8650">
        <v>0</v>
      </c>
    </row>
    <row r="8651" spans="1:4" hidden="1" x14ac:dyDescent="0.25">
      <c r="A8651" t="s">
        <v>688</v>
      </c>
      <c r="B8651" t="s">
        <v>41</v>
      </c>
      <c r="C8651" s="2">
        <f>HYPERLINK("https://sao.dolgi.msk.ru/account/1404185384/", 1404185384)</f>
        <v>1404185384</v>
      </c>
      <c r="D8651">
        <v>0</v>
      </c>
    </row>
    <row r="8652" spans="1:4" hidden="1" x14ac:dyDescent="0.25">
      <c r="A8652" t="s">
        <v>688</v>
      </c>
      <c r="B8652" t="s">
        <v>42</v>
      </c>
      <c r="C8652" s="2">
        <f>HYPERLINK("https://sao.dolgi.msk.ru/account/1404185456/", 1404185456)</f>
        <v>1404185456</v>
      </c>
      <c r="D8652">
        <v>-1776.44</v>
      </c>
    </row>
    <row r="8653" spans="1:4" hidden="1" x14ac:dyDescent="0.25">
      <c r="A8653" t="s">
        <v>688</v>
      </c>
      <c r="B8653" t="s">
        <v>43</v>
      </c>
      <c r="C8653" s="2">
        <f>HYPERLINK("https://sao.dolgi.msk.ru/account/1404186125/", 1404186125)</f>
        <v>1404186125</v>
      </c>
      <c r="D8653">
        <v>-3178.31</v>
      </c>
    </row>
    <row r="8654" spans="1:4" x14ac:dyDescent="0.25">
      <c r="A8654" t="s">
        <v>688</v>
      </c>
      <c r="B8654" t="s">
        <v>44</v>
      </c>
      <c r="C8654" s="2">
        <f>HYPERLINK("https://sao.dolgi.msk.ru/account/1404185501/", 1404185501)</f>
        <v>1404185501</v>
      </c>
      <c r="D8654">
        <v>8593.98</v>
      </c>
    </row>
    <row r="8655" spans="1:4" x14ac:dyDescent="0.25">
      <c r="A8655" t="s">
        <v>688</v>
      </c>
      <c r="B8655" t="s">
        <v>44</v>
      </c>
      <c r="C8655" s="2">
        <f>HYPERLINK("https://sao.dolgi.msk.ru/account/1404186774/", 1404186774)</f>
        <v>1404186774</v>
      </c>
      <c r="D8655">
        <v>277.93</v>
      </c>
    </row>
    <row r="8656" spans="1:4" hidden="1" x14ac:dyDescent="0.25">
      <c r="A8656" t="s">
        <v>688</v>
      </c>
      <c r="B8656" t="s">
        <v>45</v>
      </c>
      <c r="C8656" s="2">
        <f>HYPERLINK("https://sao.dolgi.msk.ru/account/1404186088/", 1404186088)</f>
        <v>1404186088</v>
      </c>
      <c r="D8656">
        <v>0</v>
      </c>
    </row>
    <row r="8657" spans="1:4" hidden="1" x14ac:dyDescent="0.25">
      <c r="A8657" t="s">
        <v>688</v>
      </c>
      <c r="B8657" t="s">
        <v>46</v>
      </c>
      <c r="C8657" s="2">
        <f>HYPERLINK("https://sao.dolgi.msk.ru/account/1404186096/", 1404186096)</f>
        <v>1404186096</v>
      </c>
      <c r="D8657">
        <v>-5717.77</v>
      </c>
    </row>
    <row r="8658" spans="1:4" hidden="1" x14ac:dyDescent="0.25">
      <c r="A8658" t="s">
        <v>688</v>
      </c>
      <c r="B8658" t="s">
        <v>47</v>
      </c>
      <c r="C8658" s="2">
        <f>HYPERLINK("https://sao.dolgi.msk.ru/account/1404186862/", 1404186862)</f>
        <v>1404186862</v>
      </c>
      <c r="D8658">
        <v>-6263.17</v>
      </c>
    </row>
    <row r="8659" spans="1:4" hidden="1" x14ac:dyDescent="0.25">
      <c r="A8659" t="s">
        <v>688</v>
      </c>
      <c r="B8659" t="s">
        <v>48</v>
      </c>
      <c r="C8659" s="2">
        <f>HYPERLINK("https://sao.dolgi.msk.ru/account/1404185982/", 1404185982)</f>
        <v>1404185982</v>
      </c>
      <c r="D8659">
        <v>-7081.62</v>
      </c>
    </row>
    <row r="8660" spans="1:4" hidden="1" x14ac:dyDescent="0.25">
      <c r="A8660" t="s">
        <v>688</v>
      </c>
      <c r="B8660" t="s">
        <v>49</v>
      </c>
      <c r="C8660" s="2">
        <f>HYPERLINK("https://sao.dolgi.msk.ru/account/1404185499/", 1404185499)</f>
        <v>1404185499</v>
      </c>
      <c r="D8660">
        <v>0</v>
      </c>
    </row>
    <row r="8661" spans="1:4" hidden="1" x14ac:dyDescent="0.25">
      <c r="A8661" t="s">
        <v>688</v>
      </c>
      <c r="B8661" t="s">
        <v>50</v>
      </c>
      <c r="C8661" s="2">
        <f>HYPERLINK("https://sao.dolgi.msk.ru/account/1404187144/", 1404187144)</f>
        <v>1404187144</v>
      </c>
      <c r="D8661">
        <v>-7480.17</v>
      </c>
    </row>
    <row r="8662" spans="1:4" x14ac:dyDescent="0.25">
      <c r="A8662" t="s">
        <v>688</v>
      </c>
      <c r="B8662" t="s">
        <v>51</v>
      </c>
      <c r="C8662" s="2">
        <f>HYPERLINK("https://sao.dolgi.msk.ru/account/1404187152/", 1404187152)</f>
        <v>1404187152</v>
      </c>
      <c r="D8662">
        <v>21244.07</v>
      </c>
    </row>
    <row r="8663" spans="1:4" hidden="1" x14ac:dyDescent="0.25">
      <c r="A8663" t="s">
        <v>688</v>
      </c>
      <c r="B8663" t="s">
        <v>52</v>
      </c>
      <c r="C8663" s="2">
        <f>HYPERLINK("https://sao.dolgi.msk.ru/account/1404186598/", 1404186598)</f>
        <v>1404186598</v>
      </c>
      <c r="D8663">
        <v>-6582.22</v>
      </c>
    </row>
    <row r="8664" spans="1:4" hidden="1" x14ac:dyDescent="0.25">
      <c r="A8664" t="s">
        <v>688</v>
      </c>
      <c r="B8664" t="s">
        <v>53</v>
      </c>
      <c r="C8664" s="2">
        <f>HYPERLINK("https://sao.dolgi.msk.ru/account/1404185747/", 1404185747)</f>
        <v>1404185747</v>
      </c>
      <c r="D8664">
        <v>-6500.03</v>
      </c>
    </row>
    <row r="8665" spans="1:4" hidden="1" x14ac:dyDescent="0.25">
      <c r="A8665" t="s">
        <v>688</v>
      </c>
      <c r="B8665" t="s">
        <v>54</v>
      </c>
      <c r="C8665" s="2">
        <f>HYPERLINK("https://sao.dolgi.msk.ru/account/1404185755/", 1404185755)</f>
        <v>1404185755</v>
      </c>
      <c r="D8665">
        <v>0</v>
      </c>
    </row>
    <row r="8666" spans="1:4" hidden="1" x14ac:dyDescent="0.25">
      <c r="A8666" t="s">
        <v>688</v>
      </c>
      <c r="B8666" t="s">
        <v>55</v>
      </c>
      <c r="C8666" s="2">
        <f>HYPERLINK("https://sao.dolgi.msk.ru/account/1404186571/", 1404186571)</f>
        <v>1404186571</v>
      </c>
      <c r="D8666">
        <v>-7390.34</v>
      </c>
    </row>
    <row r="8667" spans="1:4" hidden="1" x14ac:dyDescent="0.25">
      <c r="A8667" t="s">
        <v>688</v>
      </c>
      <c r="B8667" t="s">
        <v>56</v>
      </c>
      <c r="C8667" s="2">
        <f>HYPERLINK("https://sao.dolgi.msk.ru/account/1404186002/", 1404186002)</f>
        <v>1404186002</v>
      </c>
      <c r="D8667">
        <v>-3295.76</v>
      </c>
    </row>
    <row r="8668" spans="1:4" hidden="1" x14ac:dyDescent="0.25">
      <c r="A8668" t="s">
        <v>688</v>
      </c>
      <c r="B8668" t="s">
        <v>57</v>
      </c>
      <c r="C8668" s="2">
        <f>HYPERLINK("https://sao.dolgi.msk.ru/account/1404186619/", 1404186619)</f>
        <v>1404186619</v>
      </c>
      <c r="D8668">
        <v>-5495.99</v>
      </c>
    </row>
    <row r="8669" spans="1:4" hidden="1" x14ac:dyDescent="0.25">
      <c r="A8669" t="s">
        <v>688</v>
      </c>
      <c r="B8669" t="s">
        <v>58</v>
      </c>
      <c r="C8669" s="2">
        <f>HYPERLINK("https://sao.dolgi.msk.ru/account/1404186627/", 1404186627)</f>
        <v>1404186627</v>
      </c>
      <c r="D8669">
        <v>-5781.67</v>
      </c>
    </row>
    <row r="8670" spans="1:4" hidden="1" x14ac:dyDescent="0.25">
      <c r="A8670" t="s">
        <v>688</v>
      </c>
      <c r="B8670" t="s">
        <v>59</v>
      </c>
      <c r="C8670" s="2">
        <f>HYPERLINK("https://sao.dolgi.msk.ru/account/1404187179/", 1404187179)</f>
        <v>1404187179</v>
      </c>
      <c r="D8670">
        <v>-5919.45</v>
      </c>
    </row>
    <row r="8671" spans="1:4" hidden="1" x14ac:dyDescent="0.25">
      <c r="A8671" t="s">
        <v>688</v>
      </c>
      <c r="B8671" t="s">
        <v>60</v>
      </c>
      <c r="C8671" s="2">
        <f>HYPERLINK("https://sao.dolgi.msk.ru/account/1404186942/", 1404186942)</f>
        <v>1404186942</v>
      </c>
      <c r="D8671">
        <v>-4843.8</v>
      </c>
    </row>
    <row r="8672" spans="1:4" hidden="1" x14ac:dyDescent="0.25">
      <c r="A8672" t="s">
        <v>688</v>
      </c>
      <c r="B8672" t="s">
        <v>61</v>
      </c>
      <c r="C8672" s="2">
        <f>HYPERLINK("https://sao.dolgi.msk.ru/account/1404186635/", 1404186635)</f>
        <v>1404186635</v>
      </c>
      <c r="D8672">
        <v>0</v>
      </c>
    </row>
    <row r="8673" spans="1:4" x14ac:dyDescent="0.25">
      <c r="A8673" t="s">
        <v>688</v>
      </c>
      <c r="B8673" t="s">
        <v>62</v>
      </c>
      <c r="C8673" s="2">
        <f>HYPERLINK("https://sao.dolgi.msk.ru/account/1404186176/", 1404186176)</f>
        <v>1404186176</v>
      </c>
      <c r="D8673">
        <v>7924.13</v>
      </c>
    </row>
    <row r="8674" spans="1:4" hidden="1" x14ac:dyDescent="0.25">
      <c r="A8674" t="s">
        <v>688</v>
      </c>
      <c r="B8674" t="s">
        <v>63</v>
      </c>
      <c r="C8674" s="2">
        <f>HYPERLINK("https://sao.dolgi.msk.ru/account/1404186643/", 1404186643)</f>
        <v>1404186643</v>
      </c>
      <c r="D8674">
        <v>-5480.95</v>
      </c>
    </row>
    <row r="8675" spans="1:4" x14ac:dyDescent="0.25">
      <c r="A8675" t="s">
        <v>688</v>
      </c>
      <c r="B8675" t="s">
        <v>64</v>
      </c>
      <c r="C8675" s="2">
        <f>HYPERLINK("https://sao.dolgi.msk.ru/account/1404186408/", 1404186408)</f>
        <v>1404186408</v>
      </c>
      <c r="D8675">
        <v>21454.67</v>
      </c>
    </row>
    <row r="8676" spans="1:4" hidden="1" x14ac:dyDescent="0.25">
      <c r="A8676" t="s">
        <v>688</v>
      </c>
      <c r="B8676" t="s">
        <v>65</v>
      </c>
      <c r="C8676" s="2">
        <f>HYPERLINK("https://sao.dolgi.msk.ru/account/1404185464/", 1404185464)</f>
        <v>1404185464</v>
      </c>
      <c r="D8676">
        <v>-5521.86</v>
      </c>
    </row>
    <row r="8677" spans="1:4" x14ac:dyDescent="0.25">
      <c r="A8677" t="s">
        <v>688</v>
      </c>
      <c r="B8677" t="s">
        <v>66</v>
      </c>
      <c r="C8677" s="2">
        <f>HYPERLINK("https://sao.dolgi.msk.ru/account/1404185763/", 1404185763)</f>
        <v>1404185763</v>
      </c>
      <c r="D8677">
        <v>5614.33</v>
      </c>
    </row>
    <row r="8678" spans="1:4" hidden="1" x14ac:dyDescent="0.25">
      <c r="A8678" t="s">
        <v>688</v>
      </c>
      <c r="B8678" t="s">
        <v>67</v>
      </c>
      <c r="C8678" s="2">
        <f>HYPERLINK("https://sao.dolgi.msk.ru/account/1404186651/", 1404186651)</f>
        <v>1404186651</v>
      </c>
      <c r="D8678">
        <v>-4235.88</v>
      </c>
    </row>
    <row r="8679" spans="1:4" x14ac:dyDescent="0.25">
      <c r="A8679" t="s">
        <v>688</v>
      </c>
      <c r="B8679" t="s">
        <v>68</v>
      </c>
      <c r="C8679" s="2">
        <f>HYPERLINK("https://sao.dolgi.msk.ru/account/1404186491/", 1404186491)</f>
        <v>1404186491</v>
      </c>
      <c r="D8679">
        <v>61340.03</v>
      </c>
    </row>
    <row r="8680" spans="1:4" hidden="1" x14ac:dyDescent="0.25">
      <c r="A8680" t="s">
        <v>688</v>
      </c>
      <c r="B8680" t="s">
        <v>69</v>
      </c>
      <c r="C8680" s="2">
        <f>HYPERLINK("https://sao.dolgi.msk.ru/account/1404186336/", 1404186336)</f>
        <v>1404186336</v>
      </c>
      <c r="D8680">
        <v>-6176.62</v>
      </c>
    </row>
    <row r="8681" spans="1:4" hidden="1" x14ac:dyDescent="0.25">
      <c r="A8681" t="s">
        <v>688</v>
      </c>
      <c r="B8681" t="s">
        <v>70</v>
      </c>
      <c r="C8681" s="2">
        <f>HYPERLINK("https://sao.dolgi.msk.ru/account/1404185931/", 1404185931)</f>
        <v>1404185931</v>
      </c>
      <c r="D8681">
        <v>-4027.63</v>
      </c>
    </row>
    <row r="8682" spans="1:4" hidden="1" x14ac:dyDescent="0.25">
      <c r="A8682" t="s">
        <v>688</v>
      </c>
      <c r="B8682" t="s">
        <v>71</v>
      </c>
      <c r="C8682" s="2">
        <f>HYPERLINK("https://sao.dolgi.msk.ru/account/1404185958/", 1404185958)</f>
        <v>1404185958</v>
      </c>
      <c r="D8682">
        <v>-4705.09</v>
      </c>
    </row>
    <row r="8683" spans="1:4" hidden="1" x14ac:dyDescent="0.25">
      <c r="A8683" t="s">
        <v>688</v>
      </c>
      <c r="B8683" t="s">
        <v>72</v>
      </c>
      <c r="C8683" s="2">
        <f>HYPERLINK("https://sao.dolgi.msk.ru/account/1404186539/", 1404186539)</f>
        <v>1404186539</v>
      </c>
      <c r="D8683">
        <v>0</v>
      </c>
    </row>
    <row r="8684" spans="1:4" x14ac:dyDescent="0.25">
      <c r="A8684" t="s">
        <v>688</v>
      </c>
      <c r="B8684" t="s">
        <v>73</v>
      </c>
      <c r="C8684" s="2">
        <f>HYPERLINK("https://sao.dolgi.msk.ru/account/1404185915/", 1404185915)</f>
        <v>1404185915</v>
      </c>
      <c r="D8684">
        <v>10358.879999999999</v>
      </c>
    </row>
    <row r="8685" spans="1:4" x14ac:dyDescent="0.25">
      <c r="A8685" t="s">
        <v>688</v>
      </c>
      <c r="B8685" t="s">
        <v>73</v>
      </c>
      <c r="C8685" s="2">
        <f>HYPERLINK("https://sao.dolgi.msk.ru/account/1404186379/", 1404186379)</f>
        <v>1404186379</v>
      </c>
      <c r="D8685">
        <v>9304.11</v>
      </c>
    </row>
    <row r="8686" spans="1:4" hidden="1" x14ac:dyDescent="0.25">
      <c r="A8686" t="s">
        <v>688</v>
      </c>
      <c r="B8686" t="s">
        <v>74</v>
      </c>
      <c r="C8686" s="2">
        <f>HYPERLINK("https://sao.dolgi.msk.ru/account/1404185448/", 1404185448)</f>
        <v>1404185448</v>
      </c>
      <c r="D8686">
        <v>0</v>
      </c>
    </row>
    <row r="8687" spans="1:4" hidden="1" x14ac:dyDescent="0.25">
      <c r="A8687" t="s">
        <v>688</v>
      </c>
      <c r="B8687" t="s">
        <v>75</v>
      </c>
      <c r="C8687" s="2">
        <f>HYPERLINK("https://sao.dolgi.msk.ru/account/1404186344/", 1404186344)</f>
        <v>1404186344</v>
      </c>
      <c r="D8687">
        <v>-7212.54</v>
      </c>
    </row>
    <row r="8688" spans="1:4" hidden="1" x14ac:dyDescent="0.25">
      <c r="A8688" t="s">
        <v>688</v>
      </c>
      <c r="B8688" t="s">
        <v>76</v>
      </c>
      <c r="C8688" s="2">
        <f>HYPERLINK("https://sao.dolgi.msk.ru/account/1404186352/", 1404186352)</f>
        <v>1404186352</v>
      </c>
      <c r="D8688">
        <v>-657.75</v>
      </c>
    </row>
    <row r="8689" spans="1:4" hidden="1" x14ac:dyDescent="0.25">
      <c r="A8689" t="s">
        <v>688</v>
      </c>
      <c r="B8689" t="s">
        <v>77</v>
      </c>
      <c r="C8689" s="2">
        <f>HYPERLINK("https://sao.dolgi.msk.ru/account/1404186504/", 1404186504)</f>
        <v>1404186504</v>
      </c>
      <c r="D8689">
        <v>-5602.39</v>
      </c>
    </row>
    <row r="8690" spans="1:4" hidden="1" x14ac:dyDescent="0.25">
      <c r="A8690" t="s">
        <v>688</v>
      </c>
      <c r="B8690" t="s">
        <v>78</v>
      </c>
      <c r="C8690" s="2">
        <f>HYPERLINK("https://sao.dolgi.msk.ru/account/1404185392/", 1404185392)</f>
        <v>1404185392</v>
      </c>
      <c r="D8690">
        <v>-5837.78</v>
      </c>
    </row>
    <row r="8691" spans="1:4" hidden="1" x14ac:dyDescent="0.25">
      <c r="A8691" t="s">
        <v>688</v>
      </c>
      <c r="B8691" t="s">
        <v>79</v>
      </c>
      <c r="C8691" s="2">
        <f>HYPERLINK("https://sao.dolgi.msk.ru/account/1404187056/", 1404187056)</f>
        <v>1404187056</v>
      </c>
      <c r="D8691">
        <v>-8436.18</v>
      </c>
    </row>
    <row r="8692" spans="1:4" hidden="1" x14ac:dyDescent="0.25">
      <c r="A8692" t="s">
        <v>688</v>
      </c>
      <c r="B8692" t="s">
        <v>80</v>
      </c>
      <c r="C8692" s="2">
        <f>HYPERLINK("https://sao.dolgi.msk.ru/account/1404185632/", 1404185632)</f>
        <v>1404185632</v>
      </c>
      <c r="D8692">
        <v>-7012.04</v>
      </c>
    </row>
    <row r="8693" spans="1:4" hidden="1" x14ac:dyDescent="0.25">
      <c r="A8693" t="s">
        <v>688</v>
      </c>
      <c r="B8693" t="s">
        <v>81</v>
      </c>
      <c r="C8693" s="2">
        <f>HYPERLINK("https://sao.dolgi.msk.ru/account/1404186707/", 1404186707)</f>
        <v>1404186707</v>
      </c>
      <c r="D8693">
        <v>0</v>
      </c>
    </row>
    <row r="8694" spans="1:4" hidden="1" x14ac:dyDescent="0.25">
      <c r="A8694" t="s">
        <v>688</v>
      </c>
      <c r="B8694" t="s">
        <v>81</v>
      </c>
      <c r="C8694" s="2">
        <f>HYPERLINK("https://sao.dolgi.msk.ru/account/1404186731/", 1404186731)</f>
        <v>1404186731</v>
      </c>
      <c r="D8694">
        <v>0</v>
      </c>
    </row>
    <row r="8695" spans="1:4" hidden="1" x14ac:dyDescent="0.25">
      <c r="A8695" t="s">
        <v>688</v>
      </c>
      <c r="B8695" t="s">
        <v>82</v>
      </c>
      <c r="C8695" s="2">
        <f>HYPERLINK("https://sao.dolgi.msk.ru/account/1404186256/", 1404186256)</f>
        <v>1404186256</v>
      </c>
      <c r="D8695">
        <v>-4151.2</v>
      </c>
    </row>
    <row r="8696" spans="1:4" x14ac:dyDescent="0.25">
      <c r="A8696" t="s">
        <v>688</v>
      </c>
      <c r="B8696" t="s">
        <v>83</v>
      </c>
      <c r="C8696" s="2">
        <f>HYPERLINK("https://sao.dolgi.msk.ru/account/1404186467/", 1404186467)</f>
        <v>1404186467</v>
      </c>
      <c r="D8696">
        <v>31460.54</v>
      </c>
    </row>
    <row r="8697" spans="1:4" hidden="1" x14ac:dyDescent="0.25">
      <c r="A8697" t="s">
        <v>688</v>
      </c>
      <c r="B8697" t="s">
        <v>84</v>
      </c>
      <c r="C8697" s="2">
        <f>HYPERLINK("https://sao.dolgi.msk.ru/account/1404186061/", 1404186061)</f>
        <v>1404186061</v>
      </c>
      <c r="D8697">
        <v>-14815.36</v>
      </c>
    </row>
    <row r="8698" spans="1:4" x14ac:dyDescent="0.25">
      <c r="A8698" t="s">
        <v>688</v>
      </c>
      <c r="B8698" t="s">
        <v>85</v>
      </c>
      <c r="C8698" s="2">
        <f>HYPERLINK("https://sao.dolgi.msk.ru/account/1404185544/", 1404185544)</f>
        <v>1404185544</v>
      </c>
      <c r="D8698">
        <v>32440.29</v>
      </c>
    </row>
    <row r="8699" spans="1:4" hidden="1" x14ac:dyDescent="0.25">
      <c r="A8699" t="s">
        <v>688</v>
      </c>
      <c r="B8699" t="s">
        <v>86</v>
      </c>
      <c r="C8699" s="2">
        <f>HYPERLINK("https://sao.dolgi.msk.ru/account/1404186475/", 1404186475)</f>
        <v>1404186475</v>
      </c>
      <c r="D8699">
        <v>-3986.64</v>
      </c>
    </row>
    <row r="8700" spans="1:4" hidden="1" x14ac:dyDescent="0.25">
      <c r="A8700" t="s">
        <v>688</v>
      </c>
      <c r="B8700" t="s">
        <v>87</v>
      </c>
      <c r="C8700" s="2">
        <f>HYPERLINK("https://sao.dolgi.msk.ru/account/1404186993/", 1404186993)</f>
        <v>1404186993</v>
      </c>
      <c r="D8700">
        <v>-4833.13</v>
      </c>
    </row>
    <row r="8701" spans="1:4" hidden="1" x14ac:dyDescent="0.25">
      <c r="A8701" t="s">
        <v>688</v>
      </c>
      <c r="B8701" t="s">
        <v>88</v>
      </c>
      <c r="C8701" s="2">
        <f>HYPERLINK("https://sao.dolgi.msk.ru/account/1404187005/", 1404187005)</f>
        <v>1404187005</v>
      </c>
      <c r="D8701">
        <v>0</v>
      </c>
    </row>
    <row r="8702" spans="1:4" hidden="1" x14ac:dyDescent="0.25">
      <c r="A8702" t="s">
        <v>688</v>
      </c>
      <c r="B8702" t="s">
        <v>89</v>
      </c>
      <c r="C8702" s="2">
        <f>HYPERLINK("https://sao.dolgi.msk.ru/account/1404187013/", 1404187013)</f>
        <v>1404187013</v>
      </c>
      <c r="D8702">
        <v>-8406.02</v>
      </c>
    </row>
    <row r="8703" spans="1:4" hidden="1" x14ac:dyDescent="0.25">
      <c r="A8703" t="s">
        <v>688</v>
      </c>
      <c r="B8703" t="s">
        <v>90</v>
      </c>
      <c r="C8703" s="2">
        <f>HYPERLINK("https://sao.dolgi.msk.ru/account/1404186889/", 1404186889)</f>
        <v>1404186889</v>
      </c>
      <c r="D8703">
        <v>-6546.3</v>
      </c>
    </row>
    <row r="8704" spans="1:4" hidden="1" x14ac:dyDescent="0.25">
      <c r="A8704" t="s">
        <v>688</v>
      </c>
      <c r="B8704" t="s">
        <v>91</v>
      </c>
      <c r="C8704" s="2">
        <f>HYPERLINK("https://sao.dolgi.msk.ru/account/1404186416/", 1404186416)</f>
        <v>1404186416</v>
      </c>
      <c r="D8704">
        <v>-6410.81</v>
      </c>
    </row>
    <row r="8705" spans="1:4" hidden="1" x14ac:dyDescent="0.25">
      <c r="A8705" t="s">
        <v>688</v>
      </c>
      <c r="B8705" t="s">
        <v>92</v>
      </c>
      <c r="C8705" s="2">
        <f>HYPERLINK("https://sao.dolgi.msk.ru/account/1404186758/", 1404186758)</f>
        <v>1404186758</v>
      </c>
      <c r="D8705">
        <v>-3156.9</v>
      </c>
    </row>
    <row r="8706" spans="1:4" hidden="1" x14ac:dyDescent="0.25">
      <c r="A8706" t="s">
        <v>688</v>
      </c>
      <c r="B8706" t="s">
        <v>93</v>
      </c>
      <c r="C8706" s="2">
        <f>HYPERLINK("https://sao.dolgi.msk.ru/account/1404186918/", 1404186918)</f>
        <v>1404186918</v>
      </c>
      <c r="D8706">
        <v>-6466.61</v>
      </c>
    </row>
    <row r="8707" spans="1:4" hidden="1" x14ac:dyDescent="0.25">
      <c r="A8707" t="s">
        <v>688</v>
      </c>
      <c r="B8707" t="s">
        <v>94</v>
      </c>
      <c r="C8707" s="2">
        <f>HYPERLINK("https://sao.dolgi.msk.ru/account/1404185472/", 1404185472)</f>
        <v>1404185472</v>
      </c>
      <c r="D8707">
        <v>0</v>
      </c>
    </row>
    <row r="8708" spans="1:4" hidden="1" x14ac:dyDescent="0.25">
      <c r="A8708" t="s">
        <v>688</v>
      </c>
      <c r="B8708" t="s">
        <v>95</v>
      </c>
      <c r="C8708" s="2">
        <f>HYPERLINK("https://sao.dolgi.msk.ru/account/1404186547/", 1404186547)</f>
        <v>1404186547</v>
      </c>
      <c r="D8708">
        <v>0</v>
      </c>
    </row>
    <row r="8709" spans="1:4" hidden="1" x14ac:dyDescent="0.25">
      <c r="A8709" t="s">
        <v>688</v>
      </c>
      <c r="B8709" t="s">
        <v>96</v>
      </c>
      <c r="C8709" s="2">
        <f>HYPERLINK("https://sao.dolgi.msk.ru/account/1404185966/", 1404185966)</f>
        <v>1404185966</v>
      </c>
      <c r="D8709">
        <v>0</v>
      </c>
    </row>
    <row r="8710" spans="1:4" hidden="1" x14ac:dyDescent="0.25">
      <c r="A8710" t="s">
        <v>688</v>
      </c>
      <c r="B8710" t="s">
        <v>97</v>
      </c>
      <c r="C8710" s="2">
        <f>HYPERLINK("https://sao.dolgi.msk.ru/account/1404185974/", 1404185974)</f>
        <v>1404185974</v>
      </c>
      <c r="D8710">
        <v>-5783.74</v>
      </c>
    </row>
    <row r="8711" spans="1:4" x14ac:dyDescent="0.25">
      <c r="A8711" t="s">
        <v>688</v>
      </c>
      <c r="B8711" t="s">
        <v>98</v>
      </c>
      <c r="C8711" s="2">
        <f>HYPERLINK("https://sao.dolgi.msk.ru/account/1404187099/", 1404187099)</f>
        <v>1404187099</v>
      </c>
      <c r="D8711">
        <v>21432.36</v>
      </c>
    </row>
    <row r="8712" spans="1:4" hidden="1" x14ac:dyDescent="0.25">
      <c r="A8712" t="s">
        <v>688</v>
      </c>
      <c r="B8712" t="s">
        <v>99</v>
      </c>
      <c r="C8712" s="2">
        <f>HYPERLINK("https://sao.dolgi.msk.ru/account/1404187101/", 1404187101)</f>
        <v>1404187101</v>
      </c>
      <c r="D8712">
        <v>0</v>
      </c>
    </row>
    <row r="8713" spans="1:4" hidden="1" x14ac:dyDescent="0.25">
      <c r="A8713" t="s">
        <v>688</v>
      </c>
      <c r="B8713" t="s">
        <v>100</v>
      </c>
      <c r="C8713" s="2">
        <f>HYPERLINK("https://sao.dolgi.msk.ru/account/1404186248/", 1404186248)</f>
        <v>1404186248</v>
      </c>
      <c r="D8713">
        <v>-3441.97</v>
      </c>
    </row>
    <row r="8714" spans="1:4" hidden="1" x14ac:dyDescent="0.25">
      <c r="A8714" t="s">
        <v>688</v>
      </c>
      <c r="B8714" t="s">
        <v>101</v>
      </c>
      <c r="C8714" s="2">
        <f>HYPERLINK("https://sao.dolgi.msk.ru/account/1404186897/", 1404186897)</f>
        <v>1404186897</v>
      </c>
      <c r="D8714">
        <v>-7401.33</v>
      </c>
    </row>
    <row r="8715" spans="1:4" hidden="1" x14ac:dyDescent="0.25">
      <c r="A8715" t="s">
        <v>688</v>
      </c>
      <c r="B8715" t="s">
        <v>102</v>
      </c>
      <c r="C8715" s="2">
        <f>HYPERLINK("https://sao.dolgi.msk.ru/account/1404186985/", 1404186985)</f>
        <v>1404186985</v>
      </c>
      <c r="D8715">
        <v>-5102.26</v>
      </c>
    </row>
    <row r="8716" spans="1:4" hidden="1" x14ac:dyDescent="0.25">
      <c r="A8716" t="s">
        <v>688</v>
      </c>
      <c r="B8716" t="s">
        <v>103</v>
      </c>
      <c r="C8716" s="2">
        <f>HYPERLINK("https://sao.dolgi.msk.ru/account/1404186459/", 1404186459)</f>
        <v>1404186459</v>
      </c>
      <c r="D8716">
        <v>0</v>
      </c>
    </row>
    <row r="8717" spans="1:4" hidden="1" x14ac:dyDescent="0.25">
      <c r="A8717" t="s">
        <v>688</v>
      </c>
      <c r="B8717" t="s">
        <v>104</v>
      </c>
      <c r="C8717" s="2">
        <f>HYPERLINK("https://sao.dolgi.msk.ru/account/1404186213/", 1404186213)</f>
        <v>1404186213</v>
      </c>
      <c r="D8717">
        <v>-7282.74</v>
      </c>
    </row>
    <row r="8718" spans="1:4" hidden="1" x14ac:dyDescent="0.25">
      <c r="A8718" t="s">
        <v>688</v>
      </c>
      <c r="B8718" t="s">
        <v>105</v>
      </c>
      <c r="C8718" s="2">
        <f>HYPERLINK("https://sao.dolgi.msk.ru/account/1404186221/", 1404186221)</f>
        <v>1404186221</v>
      </c>
      <c r="D8718">
        <v>0</v>
      </c>
    </row>
    <row r="8719" spans="1:4" x14ac:dyDescent="0.25">
      <c r="A8719" t="s">
        <v>688</v>
      </c>
      <c r="B8719" t="s">
        <v>106</v>
      </c>
      <c r="C8719" s="2">
        <f>HYPERLINK("https://sao.dolgi.msk.ru/account/1404186854/", 1404186854)</f>
        <v>1404186854</v>
      </c>
      <c r="D8719">
        <v>726.11</v>
      </c>
    </row>
    <row r="8720" spans="1:4" hidden="1" x14ac:dyDescent="0.25">
      <c r="A8720" t="s">
        <v>688</v>
      </c>
      <c r="B8720" t="s">
        <v>107</v>
      </c>
      <c r="C8720" s="2">
        <f>HYPERLINK("https://sao.dolgi.msk.ru/account/1404185659/", 1404185659)</f>
        <v>1404185659</v>
      </c>
      <c r="D8720">
        <v>0</v>
      </c>
    </row>
    <row r="8721" spans="1:4" hidden="1" x14ac:dyDescent="0.25">
      <c r="A8721" t="s">
        <v>688</v>
      </c>
      <c r="B8721" t="s">
        <v>108</v>
      </c>
      <c r="C8721" s="2">
        <f>HYPERLINK("https://sao.dolgi.msk.ru/account/1404185667/", 1404185667)</f>
        <v>1404185667</v>
      </c>
      <c r="D8721">
        <v>0</v>
      </c>
    </row>
    <row r="8722" spans="1:4" x14ac:dyDescent="0.25">
      <c r="A8722" t="s">
        <v>688</v>
      </c>
      <c r="B8722" t="s">
        <v>109</v>
      </c>
      <c r="C8722" s="2">
        <f>HYPERLINK("https://sao.dolgi.msk.ru/account/1404186037/", 1404186037)</f>
        <v>1404186037</v>
      </c>
      <c r="D8722">
        <v>26941.27</v>
      </c>
    </row>
    <row r="8723" spans="1:4" hidden="1" x14ac:dyDescent="0.25">
      <c r="A8723" t="s">
        <v>688</v>
      </c>
      <c r="B8723" t="s">
        <v>110</v>
      </c>
      <c r="C8723" s="2">
        <f>HYPERLINK("https://sao.dolgi.msk.ru/account/1404185405/", 1404185405)</f>
        <v>1404185405</v>
      </c>
      <c r="D8723">
        <v>-6100.89</v>
      </c>
    </row>
    <row r="8724" spans="1:4" hidden="1" x14ac:dyDescent="0.25">
      <c r="A8724" t="s">
        <v>688</v>
      </c>
      <c r="B8724" t="s">
        <v>111</v>
      </c>
      <c r="C8724" s="2">
        <f>HYPERLINK("https://sao.dolgi.msk.ru/account/1404186387/", 1404186387)</f>
        <v>1404186387</v>
      </c>
      <c r="D8724">
        <v>-10337.030000000001</v>
      </c>
    </row>
    <row r="8725" spans="1:4" hidden="1" x14ac:dyDescent="0.25">
      <c r="A8725" t="s">
        <v>688</v>
      </c>
      <c r="B8725" t="s">
        <v>112</v>
      </c>
      <c r="C8725" s="2">
        <f>HYPERLINK("https://sao.dolgi.msk.ru/account/1404185675/", 1404185675)</f>
        <v>1404185675</v>
      </c>
      <c r="D8725">
        <v>-4107.59</v>
      </c>
    </row>
    <row r="8726" spans="1:4" hidden="1" x14ac:dyDescent="0.25">
      <c r="A8726" t="s">
        <v>688</v>
      </c>
      <c r="B8726" t="s">
        <v>113</v>
      </c>
      <c r="C8726" s="2">
        <f>HYPERLINK("https://sao.dolgi.msk.ru/account/1404185683/", 1404185683)</f>
        <v>1404185683</v>
      </c>
      <c r="D8726">
        <v>-6793.01</v>
      </c>
    </row>
    <row r="8727" spans="1:4" hidden="1" x14ac:dyDescent="0.25">
      <c r="A8727" t="s">
        <v>688</v>
      </c>
      <c r="B8727" t="s">
        <v>114</v>
      </c>
      <c r="C8727" s="2">
        <f>HYPERLINK("https://sao.dolgi.msk.ru/account/1404187064/", 1404187064)</f>
        <v>1404187064</v>
      </c>
      <c r="D8727">
        <v>-4478.46</v>
      </c>
    </row>
    <row r="8728" spans="1:4" hidden="1" x14ac:dyDescent="0.25">
      <c r="A8728" t="s">
        <v>688</v>
      </c>
      <c r="B8728" t="s">
        <v>115</v>
      </c>
      <c r="C8728" s="2">
        <f>HYPERLINK("https://sao.dolgi.msk.ru/account/1404185413/", 1404185413)</f>
        <v>1404185413</v>
      </c>
      <c r="D8728">
        <v>-5073.99</v>
      </c>
    </row>
    <row r="8729" spans="1:4" hidden="1" x14ac:dyDescent="0.25">
      <c r="A8729" t="s">
        <v>688</v>
      </c>
      <c r="B8729" t="s">
        <v>116</v>
      </c>
      <c r="C8729" s="2">
        <f>HYPERLINK("https://sao.dolgi.msk.ru/account/1404187072/", 1404187072)</f>
        <v>1404187072</v>
      </c>
      <c r="D8729">
        <v>-8621.5300000000007</v>
      </c>
    </row>
    <row r="8730" spans="1:4" hidden="1" x14ac:dyDescent="0.25">
      <c r="A8730" t="s">
        <v>688</v>
      </c>
      <c r="B8730" t="s">
        <v>117</v>
      </c>
      <c r="C8730" s="2">
        <f>HYPERLINK("https://sao.dolgi.msk.ru/account/1404185691/", 1404185691)</f>
        <v>1404185691</v>
      </c>
      <c r="D8730">
        <v>-4152.8599999999997</v>
      </c>
    </row>
    <row r="8731" spans="1:4" hidden="1" x14ac:dyDescent="0.25">
      <c r="A8731" t="s">
        <v>688</v>
      </c>
      <c r="B8731" t="s">
        <v>118</v>
      </c>
      <c r="C8731" s="2">
        <f>HYPERLINK("https://sao.dolgi.msk.ru/account/1404187187/", 1404187187)</f>
        <v>1404187187</v>
      </c>
      <c r="D8731">
        <v>-6129.6</v>
      </c>
    </row>
    <row r="8732" spans="1:4" hidden="1" x14ac:dyDescent="0.25">
      <c r="A8732" t="s">
        <v>688</v>
      </c>
      <c r="B8732" t="s">
        <v>119</v>
      </c>
      <c r="C8732" s="2">
        <f>HYPERLINK("https://sao.dolgi.msk.ru/account/1404185907/", 1404185907)</f>
        <v>1404185907</v>
      </c>
      <c r="D8732">
        <v>0</v>
      </c>
    </row>
    <row r="8733" spans="1:4" hidden="1" x14ac:dyDescent="0.25">
      <c r="A8733" t="s">
        <v>688</v>
      </c>
      <c r="B8733" t="s">
        <v>120</v>
      </c>
      <c r="C8733" s="2">
        <f>HYPERLINK("https://sao.dolgi.msk.ru/account/1404186328/", 1404186328)</f>
        <v>1404186328</v>
      </c>
      <c r="D8733">
        <v>-4195.66</v>
      </c>
    </row>
    <row r="8734" spans="1:4" hidden="1" x14ac:dyDescent="0.25">
      <c r="A8734" t="s">
        <v>688</v>
      </c>
      <c r="B8734" t="s">
        <v>121</v>
      </c>
      <c r="C8734" s="2">
        <f>HYPERLINK("https://sao.dolgi.msk.ru/account/1404185704/", 1404185704)</f>
        <v>1404185704</v>
      </c>
      <c r="D8734">
        <v>-5588.59</v>
      </c>
    </row>
    <row r="8735" spans="1:4" hidden="1" x14ac:dyDescent="0.25">
      <c r="A8735" t="s">
        <v>688</v>
      </c>
      <c r="B8735" t="s">
        <v>122</v>
      </c>
      <c r="C8735" s="2">
        <f>HYPERLINK("https://sao.dolgi.msk.ru/account/1404185712/", 1404185712)</f>
        <v>1404185712</v>
      </c>
      <c r="D8735">
        <v>-8285.1</v>
      </c>
    </row>
    <row r="8736" spans="1:4" x14ac:dyDescent="0.25">
      <c r="A8736" t="s">
        <v>688</v>
      </c>
      <c r="B8736" t="s">
        <v>123</v>
      </c>
      <c r="C8736" s="2">
        <f>HYPERLINK("https://sao.dolgi.msk.ru/account/1404187128/", 1404187128)</f>
        <v>1404187128</v>
      </c>
      <c r="D8736">
        <v>107091.71</v>
      </c>
    </row>
    <row r="8737" spans="1:4" hidden="1" x14ac:dyDescent="0.25">
      <c r="A8737" t="s">
        <v>688</v>
      </c>
      <c r="B8737" t="s">
        <v>124</v>
      </c>
      <c r="C8737" s="2">
        <f>HYPERLINK("https://sao.dolgi.msk.ru/account/1404186555/", 1404186555)</f>
        <v>1404186555</v>
      </c>
      <c r="D8737">
        <v>-5989.81</v>
      </c>
    </row>
    <row r="8738" spans="1:4" hidden="1" x14ac:dyDescent="0.25">
      <c r="A8738" t="s">
        <v>688</v>
      </c>
      <c r="B8738" t="s">
        <v>125</v>
      </c>
      <c r="C8738" s="2">
        <f>HYPERLINK("https://sao.dolgi.msk.ru/account/1404186141/", 1404186141)</f>
        <v>1404186141</v>
      </c>
      <c r="D8738">
        <v>-4638.24</v>
      </c>
    </row>
    <row r="8739" spans="1:4" hidden="1" x14ac:dyDescent="0.25">
      <c r="A8739" t="s">
        <v>688</v>
      </c>
      <c r="B8739" t="s">
        <v>126</v>
      </c>
      <c r="C8739" s="2">
        <f>HYPERLINK("https://sao.dolgi.msk.ru/account/1404186053/", 1404186053)</f>
        <v>1404186053</v>
      </c>
      <c r="D8739">
        <v>0</v>
      </c>
    </row>
    <row r="8740" spans="1:4" hidden="1" x14ac:dyDescent="0.25">
      <c r="A8740" t="s">
        <v>688</v>
      </c>
      <c r="B8740" t="s">
        <v>127</v>
      </c>
      <c r="C8740" s="2">
        <f>HYPERLINK("https://sao.dolgi.msk.ru/account/1404187136/", 1404187136)</f>
        <v>1404187136</v>
      </c>
      <c r="D8740">
        <v>-4015.62</v>
      </c>
    </row>
    <row r="8741" spans="1:4" hidden="1" x14ac:dyDescent="0.25">
      <c r="A8741" t="s">
        <v>688</v>
      </c>
      <c r="B8741" t="s">
        <v>128</v>
      </c>
      <c r="C8741" s="2">
        <f>HYPERLINK("https://sao.dolgi.msk.ru/account/1404186168/", 1404186168)</f>
        <v>1404186168</v>
      </c>
      <c r="D8741">
        <v>-6667.21</v>
      </c>
    </row>
    <row r="8742" spans="1:4" hidden="1" x14ac:dyDescent="0.25">
      <c r="A8742" t="s">
        <v>688</v>
      </c>
      <c r="B8742" t="s">
        <v>129</v>
      </c>
      <c r="C8742" s="2">
        <f>HYPERLINK("https://sao.dolgi.msk.ru/account/1404186563/", 1404186563)</f>
        <v>1404186563</v>
      </c>
      <c r="D8742">
        <v>0</v>
      </c>
    </row>
    <row r="8743" spans="1:4" hidden="1" x14ac:dyDescent="0.25">
      <c r="A8743" t="s">
        <v>688</v>
      </c>
      <c r="B8743" t="s">
        <v>130</v>
      </c>
      <c r="C8743" s="2">
        <f>HYPERLINK("https://sao.dolgi.msk.ru/account/1404186272/", 1404186272)</f>
        <v>1404186272</v>
      </c>
      <c r="D8743">
        <v>-5325.19</v>
      </c>
    </row>
    <row r="8744" spans="1:4" hidden="1" x14ac:dyDescent="0.25">
      <c r="A8744" t="s">
        <v>688</v>
      </c>
      <c r="B8744" t="s">
        <v>131</v>
      </c>
      <c r="C8744" s="2">
        <f>HYPERLINK("https://sao.dolgi.msk.ru/account/1404185886/", 1404185886)</f>
        <v>1404185886</v>
      </c>
      <c r="D8744">
        <v>-4846.33</v>
      </c>
    </row>
    <row r="8745" spans="1:4" hidden="1" x14ac:dyDescent="0.25">
      <c r="A8745" t="s">
        <v>688</v>
      </c>
      <c r="B8745" t="s">
        <v>132</v>
      </c>
      <c r="C8745" s="2">
        <f>HYPERLINK("https://sao.dolgi.msk.ru/account/1404186803/", 1404186803)</f>
        <v>1404186803</v>
      </c>
      <c r="D8745">
        <v>-6770.05</v>
      </c>
    </row>
    <row r="8746" spans="1:4" hidden="1" x14ac:dyDescent="0.25">
      <c r="A8746" t="s">
        <v>688</v>
      </c>
      <c r="B8746" t="s">
        <v>133</v>
      </c>
      <c r="C8746" s="2">
        <f>HYPERLINK("https://sao.dolgi.msk.ru/account/1404186782/", 1404186782)</f>
        <v>1404186782</v>
      </c>
      <c r="D8746">
        <v>-5933.04</v>
      </c>
    </row>
    <row r="8747" spans="1:4" x14ac:dyDescent="0.25">
      <c r="A8747" t="s">
        <v>688</v>
      </c>
      <c r="B8747" t="s">
        <v>134</v>
      </c>
      <c r="C8747" s="2">
        <f>HYPERLINK("https://sao.dolgi.msk.ru/account/1404185579/", 1404185579)</f>
        <v>1404185579</v>
      </c>
      <c r="D8747">
        <v>20886.12</v>
      </c>
    </row>
    <row r="8748" spans="1:4" hidden="1" x14ac:dyDescent="0.25">
      <c r="A8748" t="s">
        <v>688</v>
      </c>
      <c r="B8748" t="s">
        <v>135</v>
      </c>
      <c r="C8748" s="2">
        <f>HYPERLINK("https://sao.dolgi.msk.ru/account/1404186109/", 1404186109)</f>
        <v>1404186109</v>
      </c>
      <c r="D8748">
        <v>-5943.06</v>
      </c>
    </row>
    <row r="8749" spans="1:4" hidden="1" x14ac:dyDescent="0.25">
      <c r="A8749" t="s">
        <v>688</v>
      </c>
      <c r="B8749" t="s">
        <v>136</v>
      </c>
      <c r="C8749" s="2">
        <f>HYPERLINK("https://sao.dolgi.msk.ru/account/1404185587/", 1404185587)</f>
        <v>1404185587</v>
      </c>
      <c r="D8749">
        <v>-7291.54</v>
      </c>
    </row>
    <row r="8750" spans="1:4" x14ac:dyDescent="0.25">
      <c r="A8750" t="s">
        <v>688</v>
      </c>
      <c r="B8750" t="s">
        <v>137</v>
      </c>
      <c r="C8750" s="2">
        <f>HYPERLINK("https://sao.dolgi.msk.ru/account/1404186117/", 1404186117)</f>
        <v>1404186117</v>
      </c>
      <c r="D8750">
        <v>20634.310000000001</v>
      </c>
    </row>
    <row r="8751" spans="1:4" x14ac:dyDescent="0.25">
      <c r="A8751" t="s">
        <v>688</v>
      </c>
      <c r="B8751" t="s">
        <v>138</v>
      </c>
      <c r="C8751" s="2">
        <f>HYPERLINK("https://sao.dolgi.msk.ru/account/1404185595/", 1404185595)</f>
        <v>1404185595</v>
      </c>
      <c r="D8751">
        <v>9637.5499999999993</v>
      </c>
    </row>
    <row r="8752" spans="1:4" hidden="1" x14ac:dyDescent="0.25">
      <c r="A8752" t="s">
        <v>688</v>
      </c>
      <c r="B8752" t="s">
        <v>139</v>
      </c>
      <c r="C8752" s="2">
        <f>HYPERLINK("https://sao.dolgi.msk.ru/account/1404186299/", 1404186299)</f>
        <v>1404186299</v>
      </c>
      <c r="D8752">
        <v>-7244.77</v>
      </c>
    </row>
    <row r="8753" spans="1:4" hidden="1" x14ac:dyDescent="0.25">
      <c r="A8753" t="s">
        <v>688</v>
      </c>
      <c r="B8753" t="s">
        <v>140</v>
      </c>
      <c r="C8753" s="2">
        <f>HYPERLINK("https://sao.dolgi.msk.ru/account/1404186432/", 1404186432)</f>
        <v>1404186432</v>
      </c>
      <c r="D8753">
        <v>-9005.77</v>
      </c>
    </row>
    <row r="8754" spans="1:4" x14ac:dyDescent="0.25">
      <c r="A8754" t="s">
        <v>688</v>
      </c>
      <c r="B8754" t="s">
        <v>141</v>
      </c>
      <c r="C8754" s="2">
        <f>HYPERLINK("https://sao.dolgi.msk.ru/account/1404185528/", 1404185528)</f>
        <v>1404185528</v>
      </c>
      <c r="D8754">
        <v>20025.72</v>
      </c>
    </row>
    <row r="8755" spans="1:4" hidden="1" x14ac:dyDescent="0.25">
      <c r="A8755" t="s">
        <v>688</v>
      </c>
      <c r="B8755" t="s">
        <v>142</v>
      </c>
      <c r="C8755" s="2">
        <f>HYPERLINK("https://sao.dolgi.msk.ru/account/1404186969/", 1404186969)</f>
        <v>1404186969</v>
      </c>
      <c r="D8755">
        <v>0</v>
      </c>
    </row>
    <row r="8756" spans="1:4" hidden="1" x14ac:dyDescent="0.25">
      <c r="A8756" t="s">
        <v>688</v>
      </c>
      <c r="B8756" t="s">
        <v>143</v>
      </c>
      <c r="C8756" s="2">
        <f>HYPERLINK("https://sao.dolgi.msk.ru/account/1404185827/", 1404185827)</f>
        <v>1404185827</v>
      </c>
      <c r="D8756">
        <v>0</v>
      </c>
    </row>
    <row r="8757" spans="1:4" hidden="1" x14ac:dyDescent="0.25">
      <c r="A8757" t="s">
        <v>688</v>
      </c>
      <c r="B8757" t="s">
        <v>144</v>
      </c>
      <c r="C8757" s="2">
        <f>HYPERLINK("https://sao.dolgi.msk.ru/account/1404185843/", 1404185843)</f>
        <v>1404185843</v>
      </c>
      <c r="D8757">
        <v>0</v>
      </c>
    </row>
    <row r="8758" spans="1:4" hidden="1" x14ac:dyDescent="0.25">
      <c r="A8758" t="s">
        <v>688</v>
      </c>
      <c r="B8758" t="s">
        <v>145</v>
      </c>
      <c r="C8758" s="2">
        <f>HYPERLINK("https://sao.dolgi.msk.ru/account/1404186192/", 1404186192)</f>
        <v>1404186192</v>
      </c>
      <c r="D8758">
        <v>-4484.8</v>
      </c>
    </row>
    <row r="8759" spans="1:4" x14ac:dyDescent="0.25">
      <c r="A8759" t="s">
        <v>688</v>
      </c>
      <c r="B8759" t="s">
        <v>146</v>
      </c>
      <c r="C8759" s="2">
        <f>HYPERLINK("https://sao.dolgi.msk.ru/account/1404186977/", 1404186977)</f>
        <v>1404186977</v>
      </c>
      <c r="D8759">
        <v>1380.36</v>
      </c>
    </row>
    <row r="8760" spans="1:4" hidden="1" x14ac:dyDescent="0.25">
      <c r="A8760" t="s">
        <v>688</v>
      </c>
      <c r="B8760" t="s">
        <v>147</v>
      </c>
      <c r="C8760" s="2">
        <f>HYPERLINK("https://sao.dolgi.msk.ru/account/1404185851/", 1404185851)</f>
        <v>1404185851</v>
      </c>
      <c r="D8760">
        <v>0</v>
      </c>
    </row>
    <row r="8761" spans="1:4" hidden="1" x14ac:dyDescent="0.25">
      <c r="A8761" t="s">
        <v>688</v>
      </c>
      <c r="B8761" t="s">
        <v>148</v>
      </c>
      <c r="C8761" s="2">
        <f>HYPERLINK("https://sao.dolgi.msk.ru/account/1404187048/", 1404187048)</f>
        <v>1404187048</v>
      </c>
      <c r="D8761">
        <v>-2634.33</v>
      </c>
    </row>
    <row r="8762" spans="1:4" x14ac:dyDescent="0.25">
      <c r="A8762" t="s">
        <v>688</v>
      </c>
      <c r="B8762" t="s">
        <v>149</v>
      </c>
      <c r="C8762" s="2">
        <f>HYPERLINK("https://sao.dolgi.msk.ru/account/1404186715/", 1404186715)</f>
        <v>1404186715</v>
      </c>
      <c r="D8762">
        <v>26347.72</v>
      </c>
    </row>
    <row r="8763" spans="1:4" hidden="1" x14ac:dyDescent="0.25">
      <c r="A8763" t="s">
        <v>688</v>
      </c>
      <c r="B8763" t="s">
        <v>150</v>
      </c>
      <c r="C8763" s="2">
        <f>HYPERLINK("https://sao.dolgi.msk.ru/account/1404186205/", 1404186205)</f>
        <v>1404186205</v>
      </c>
      <c r="D8763">
        <v>-8255.1</v>
      </c>
    </row>
    <row r="8764" spans="1:4" hidden="1" x14ac:dyDescent="0.25">
      <c r="A8764" t="s">
        <v>688</v>
      </c>
      <c r="B8764" t="s">
        <v>151</v>
      </c>
      <c r="C8764" s="2">
        <f>HYPERLINK("https://sao.dolgi.msk.ru/account/1404186029/", 1404186029)</f>
        <v>1404186029</v>
      </c>
      <c r="D8764">
        <v>-6060.39</v>
      </c>
    </row>
    <row r="8765" spans="1:4" hidden="1" x14ac:dyDescent="0.25">
      <c r="A8765" t="s">
        <v>689</v>
      </c>
      <c r="B8765" t="s">
        <v>5</v>
      </c>
      <c r="C8765" s="2">
        <f>HYPERLINK("https://sao.dolgi.msk.ru/account/1404171791/", 1404171791)</f>
        <v>1404171791</v>
      </c>
      <c r="D8765">
        <v>-7428.59</v>
      </c>
    </row>
    <row r="8766" spans="1:4" x14ac:dyDescent="0.25">
      <c r="A8766" t="s">
        <v>689</v>
      </c>
      <c r="B8766" t="s">
        <v>6</v>
      </c>
      <c r="C8766" s="2">
        <f>HYPERLINK("https://sao.dolgi.msk.ru/account/1404171759/", 1404171759)</f>
        <v>1404171759</v>
      </c>
      <c r="D8766">
        <v>44704.98</v>
      </c>
    </row>
    <row r="8767" spans="1:4" hidden="1" x14ac:dyDescent="0.25">
      <c r="A8767" t="s">
        <v>689</v>
      </c>
      <c r="B8767" t="s">
        <v>7</v>
      </c>
      <c r="C8767" s="2">
        <f>HYPERLINK("https://sao.dolgi.msk.ru/account/1404171484/", 1404171484)</f>
        <v>1404171484</v>
      </c>
      <c r="D8767">
        <v>-8848.08</v>
      </c>
    </row>
    <row r="8768" spans="1:4" hidden="1" x14ac:dyDescent="0.25">
      <c r="A8768" t="s">
        <v>689</v>
      </c>
      <c r="B8768" t="s">
        <v>8</v>
      </c>
      <c r="C8768" s="2">
        <f>HYPERLINK("https://sao.dolgi.msk.ru/account/1404171839/", 1404171839)</f>
        <v>1404171839</v>
      </c>
      <c r="D8768">
        <v>-6185.07</v>
      </c>
    </row>
    <row r="8769" spans="1:4" hidden="1" x14ac:dyDescent="0.25">
      <c r="A8769" t="s">
        <v>689</v>
      </c>
      <c r="B8769" t="s">
        <v>9</v>
      </c>
      <c r="C8769" s="2">
        <f>HYPERLINK("https://sao.dolgi.msk.ru/account/1404171855/", 1404171855)</f>
        <v>1404171855</v>
      </c>
      <c r="D8769">
        <v>-7318.64</v>
      </c>
    </row>
    <row r="8770" spans="1:4" hidden="1" x14ac:dyDescent="0.25">
      <c r="A8770" t="s">
        <v>689</v>
      </c>
      <c r="B8770" t="s">
        <v>10</v>
      </c>
      <c r="C8770" s="2">
        <f>HYPERLINK("https://sao.dolgi.msk.ru/account/1404171863/", 1404171863)</f>
        <v>1404171863</v>
      </c>
      <c r="D8770">
        <v>0</v>
      </c>
    </row>
    <row r="8771" spans="1:4" hidden="1" x14ac:dyDescent="0.25">
      <c r="A8771" t="s">
        <v>689</v>
      </c>
      <c r="B8771" t="s">
        <v>11</v>
      </c>
      <c r="C8771" s="2">
        <f>HYPERLINK("https://sao.dolgi.msk.ru/account/1404171898/", 1404171898)</f>
        <v>1404171898</v>
      </c>
      <c r="D8771">
        <v>-5073.34</v>
      </c>
    </row>
    <row r="8772" spans="1:4" hidden="1" x14ac:dyDescent="0.25">
      <c r="A8772" t="s">
        <v>689</v>
      </c>
      <c r="B8772" t="s">
        <v>12</v>
      </c>
      <c r="C8772" s="2">
        <f>HYPERLINK("https://sao.dolgi.msk.ru/account/1404171927/", 1404171927)</f>
        <v>1404171927</v>
      </c>
      <c r="D8772">
        <v>-94.45</v>
      </c>
    </row>
    <row r="8773" spans="1:4" hidden="1" x14ac:dyDescent="0.25">
      <c r="A8773" t="s">
        <v>689</v>
      </c>
      <c r="B8773" t="s">
        <v>13</v>
      </c>
      <c r="C8773" s="2">
        <f>HYPERLINK("https://sao.dolgi.msk.ru/account/1404172065/", 1404172065)</f>
        <v>1404172065</v>
      </c>
      <c r="D8773">
        <v>-6943.5</v>
      </c>
    </row>
    <row r="8774" spans="1:4" hidden="1" x14ac:dyDescent="0.25">
      <c r="A8774" t="s">
        <v>689</v>
      </c>
      <c r="B8774" t="s">
        <v>14</v>
      </c>
      <c r="C8774" s="2">
        <f>HYPERLINK("https://sao.dolgi.msk.ru/account/1404171716/", 1404171716)</f>
        <v>1404171716</v>
      </c>
      <c r="D8774">
        <v>0</v>
      </c>
    </row>
    <row r="8775" spans="1:4" x14ac:dyDescent="0.25">
      <c r="A8775" t="s">
        <v>689</v>
      </c>
      <c r="B8775" t="s">
        <v>15</v>
      </c>
      <c r="C8775" s="2">
        <f>HYPERLINK("https://sao.dolgi.msk.ru/account/1404172102/", 1404172102)</f>
        <v>1404172102</v>
      </c>
      <c r="D8775">
        <v>11031.84</v>
      </c>
    </row>
    <row r="8776" spans="1:4" hidden="1" x14ac:dyDescent="0.25">
      <c r="A8776" t="s">
        <v>689</v>
      </c>
      <c r="B8776" t="s">
        <v>16</v>
      </c>
      <c r="C8776" s="2">
        <f>HYPERLINK("https://sao.dolgi.msk.ru/account/1404172073/", 1404172073)</f>
        <v>1404172073</v>
      </c>
      <c r="D8776">
        <v>-9595.2000000000007</v>
      </c>
    </row>
    <row r="8777" spans="1:4" hidden="1" x14ac:dyDescent="0.25">
      <c r="A8777" t="s">
        <v>689</v>
      </c>
      <c r="B8777" t="s">
        <v>17</v>
      </c>
      <c r="C8777" s="2">
        <f>HYPERLINK("https://sao.dolgi.msk.ru/account/1404172081/", 1404172081)</f>
        <v>1404172081</v>
      </c>
      <c r="D8777">
        <v>-13553.75</v>
      </c>
    </row>
    <row r="8778" spans="1:4" hidden="1" x14ac:dyDescent="0.25">
      <c r="A8778" t="s">
        <v>689</v>
      </c>
      <c r="B8778" t="s">
        <v>18</v>
      </c>
      <c r="C8778" s="2">
        <f>HYPERLINK("https://sao.dolgi.msk.ru/account/1404172129/", 1404172129)</f>
        <v>1404172129</v>
      </c>
      <c r="D8778">
        <v>0</v>
      </c>
    </row>
    <row r="8779" spans="1:4" hidden="1" x14ac:dyDescent="0.25">
      <c r="A8779" t="s">
        <v>689</v>
      </c>
      <c r="B8779" t="s">
        <v>19</v>
      </c>
      <c r="C8779" s="2">
        <f>HYPERLINK("https://sao.dolgi.msk.ru/account/1404293924/", 1404293924)</f>
        <v>1404293924</v>
      </c>
      <c r="D8779">
        <v>-8241.48</v>
      </c>
    </row>
    <row r="8780" spans="1:4" x14ac:dyDescent="0.25">
      <c r="A8780" t="s">
        <v>689</v>
      </c>
      <c r="B8780" t="s">
        <v>20</v>
      </c>
      <c r="C8780" s="2">
        <f>HYPERLINK("https://sao.dolgi.msk.ru/account/1404172321/", 1404172321)</f>
        <v>1404172321</v>
      </c>
      <c r="D8780">
        <v>4976.8599999999997</v>
      </c>
    </row>
    <row r="8781" spans="1:4" hidden="1" x14ac:dyDescent="0.25">
      <c r="A8781" t="s">
        <v>689</v>
      </c>
      <c r="B8781" t="s">
        <v>21</v>
      </c>
      <c r="C8781" s="2">
        <f>HYPERLINK("https://sao.dolgi.msk.ru/account/1404172145/", 1404172145)</f>
        <v>1404172145</v>
      </c>
      <c r="D8781">
        <v>-5116.04</v>
      </c>
    </row>
    <row r="8782" spans="1:4" x14ac:dyDescent="0.25">
      <c r="A8782" t="s">
        <v>689</v>
      </c>
      <c r="B8782" t="s">
        <v>22</v>
      </c>
      <c r="C8782" s="2">
        <f>HYPERLINK("https://sao.dolgi.msk.ru/account/1404172348/", 1404172348)</f>
        <v>1404172348</v>
      </c>
      <c r="D8782">
        <v>16133.39</v>
      </c>
    </row>
    <row r="8783" spans="1:4" hidden="1" x14ac:dyDescent="0.25">
      <c r="A8783" t="s">
        <v>689</v>
      </c>
      <c r="B8783" t="s">
        <v>23</v>
      </c>
      <c r="C8783" s="2">
        <f>HYPERLINK("https://sao.dolgi.msk.ru/account/1404172137/", 1404172137)</f>
        <v>1404172137</v>
      </c>
      <c r="D8783">
        <v>-6424.11</v>
      </c>
    </row>
    <row r="8784" spans="1:4" hidden="1" x14ac:dyDescent="0.25">
      <c r="A8784" t="s">
        <v>689</v>
      </c>
      <c r="B8784" t="s">
        <v>24</v>
      </c>
      <c r="C8784" s="2">
        <f>HYPERLINK("https://sao.dolgi.msk.ru/account/1404172153/", 1404172153)</f>
        <v>1404172153</v>
      </c>
      <c r="D8784">
        <v>0</v>
      </c>
    </row>
    <row r="8785" spans="1:4" hidden="1" x14ac:dyDescent="0.25">
      <c r="A8785" t="s">
        <v>689</v>
      </c>
      <c r="B8785" t="s">
        <v>25</v>
      </c>
      <c r="C8785" s="2">
        <f>HYPERLINK("https://sao.dolgi.msk.ru/account/1404172401/", 1404172401)</f>
        <v>1404172401</v>
      </c>
      <c r="D8785">
        <v>0</v>
      </c>
    </row>
    <row r="8786" spans="1:4" x14ac:dyDescent="0.25">
      <c r="A8786" t="s">
        <v>689</v>
      </c>
      <c r="B8786" t="s">
        <v>26</v>
      </c>
      <c r="C8786" s="2">
        <f>HYPERLINK("https://sao.dolgi.msk.ru/account/1404172268/", 1404172268)</f>
        <v>1404172268</v>
      </c>
      <c r="D8786">
        <v>10566.33</v>
      </c>
    </row>
    <row r="8787" spans="1:4" hidden="1" x14ac:dyDescent="0.25">
      <c r="A8787" t="s">
        <v>689</v>
      </c>
      <c r="B8787" t="s">
        <v>27</v>
      </c>
      <c r="C8787" s="2">
        <f>HYPERLINK("https://sao.dolgi.msk.ru/account/1404172428/", 1404172428)</f>
        <v>1404172428</v>
      </c>
      <c r="D8787">
        <v>0</v>
      </c>
    </row>
    <row r="8788" spans="1:4" x14ac:dyDescent="0.25">
      <c r="A8788" t="s">
        <v>689</v>
      </c>
      <c r="B8788" t="s">
        <v>28</v>
      </c>
      <c r="C8788" s="2">
        <f>HYPERLINK("https://sao.dolgi.msk.ru/account/1404172276/", 1404172276)</f>
        <v>1404172276</v>
      </c>
      <c r="D8788">
        <v>54077.74</v>
      </c>
    </row>
    <row r="8789" spans="1:4" hidden="1" x14ac:dyDescent="0.25">
      <c r="A8789" t="s">
        <v>689</v>
      </c>
      <c r="B8789" t="s">
        <v>30</v>
      </c>
      <c r="C8789" s="2">
        <f>HYPERLINK("https://sao.dolgi.msk.ru/account/1404172372/", 1404172372)</f>
        <v>1404172372</v>
      </c>
      <c r="D8789">
        <v>-5210.01</v>
      </c>
    </row>
    <row r="8790" spans="1:4" hidden="1" x14ac:dyDescent="0.25">
      <c r="A8790" t="s">
        <v>689</v>
      </c>
      <c r="B8790" t="s">
        <v>31</v>
      </c>
      <c r="C8790" s="2">
        <f>HYPERLINK("https://sao.dolgi.msk.ru/account/1404172305/", 1404172305)</f>
        <v>1404172305</v>
      </c>
      <c r="D8790">
        <v>0</v>
      </c>
    </row>
    <row r="8791" spans="1:4" hidden="1" x14ac:dyDescent="0.25">
      <c r="A8791" t="s">
        <v>689</v>
      </c>
      <c r="B8791" t="s">
        <v>32</v>
      </c>
      <c r="C8791" s="2">
        <f>HYPERLINK("https://sao.dolgi.msk.ru/account/1404172436/", 1404172436)</f>
        <v>1404172436</v>
      </c>
      <c r="D8791">
        <v>-5646.21</v>
      </c>
    </row>
    <row r="8792" spans="1:4" hidden="1" x14ac:dyDescent="0.25">
      <c r="A8792" t="s">
        <v>689</v>
      </c>
      <c r="B8792" t="s">
        <v>33</v>
      </c>
      <c r="C8792" s="2">
        <f>HYPERLINK("https://sao.dolgi.msk.ru/account/1404171492/", 1404171492)</f>
        <v>1404171492</v>
      </c>
      <c r="D8792">
        <v>-13119.72</v>
      </c>
    </row>
    <row r="8793" spans="1:4" hidden="1" x14ac:dyDescent="0.25">
      <c r="A8793" t="s">
        <v>689</v>
      </c>
      <c r="B8793" t="s">
        <v>34</v>
      </c>
      <c r="C8793" s="2">
        <f>HYPERLINK("https://sao.dolgi.msk.ru/account/1404171505/", 1404171505)</f>
        <v>1404171505</v>
      </c>
      <c r="D8793">
        <v>-8566.64</v>
      </c>
    </row>
    <row r="8794" spans="1:4" hidden="1" x14ac:dyDescent="0.25">
      <c r="A8794" t="s">
        <v>689</v>
      </c>
      <c r="B8794" t="s">
        <v>35</v>
      </c>
      <c r="C8794" s="2">
        <f>HYPERLINK("https://sao.dolgi.msk.ru/account/1404171556/", 1404171556)</f>
        <v>1404171556</v>
      </c>
      <c r="D8794">
        <v>0</v>
      </c>
    </row>
    <row r="8795" spans="1:4" hidden="1" x14ac:dyDescent="0.25">
      <c r="A8795" t="s">
        <v>689</v>
      </c>
      <c r="B8795" t="s">
        <v>36</v>
      </c>
      <c r="C8795" s="2">
        <f>HYPERLINK("https://sao.dolgi.msk.ru/account/1404171564/", 1404171564)</f>
        <v>1404171564</v>
      </c>
      <c r="D8795">
        <v>-6347.22</v>
      </c>
    </row>
    <row r="8796" spans="1:4" hidden="1" x14ac:dyDescent="0.25">
      <c r="A8796" t="s">
        <v>689</v>
      </c>
      <c r="B8796" t="s">
        <v>37</v>
      </c>
      <c r="C8796" s="2">
        <f>HYPERLINK("https://sao.dolgi.msk.ru/account/1404171601/", 1404171601)</f>
        <v>1404171601</v>
      </c>
      <c r="D8796">
        <v>-7352.5</v>
      </c>
    </row>
    <row r="8797" spans="1:4" x14ac:dyDescent="0.25">
      <c r="A8797" t="s">
        <v>689</v>
      </c>
      <c r="B8797" t="s">
        <v>38</v>
      </c>
      <c r="C8797" s="2">
        <f>HYPERLINK("https://sao.dolgi.msk.ru/account/1404171628/", 1404171628)</f>
        <v>1404171628</v>
      </c>
      <c r="D8797">
        <v>13113.72</v>
      </c>
    </row>
    <row r="8798" spans="1:4" hidden="1" x14ac:dyDescent="0.25">
      <c r="A8798" t="s">
        <v>689</v>
      </c>
      <c r="B8798" t="s">
        <v>39</v>
      </c>
      <c r="C8798" s="2">
        <f>HYPERLINK("https://sao.dolgi.msk.ru/account/1404171644/", 1404171644)</f>
        <v>1404171644</v>
      </c>
      <c r="D8798">
        <v>0</v>
      </c>
    </row>
    <row r="8799" spans="1:4" x14ac:dyDescent="0.25">
      <c r="A8799" t="s">
        <v>689</v>
      </c>
      <c r="B8799" t="s">
        <v>40</v>
      </c>
      <c r="C8799" s="2">
        <f>HYPERLINK("https://sao.dolgi.msk.ru/account/1404171572/", 1404171572)</f>
        <v>1404171572</v>
      </c>
      <c r="D8799">
        <v>8385.15</v>
      </c>
    </row>
    <row r="8800" spans="1:4" hidden="1" x14ac:dyDescent="0.25">
      <c r="A8800" t="s">
        <v>689</v>
      </c>
      <c r="B8800" t="s">
        <v>41</v>
      </c>
      <c r="C8800" s="2">
        <f>HYPERLINK("https://sao.dolgi.msk.ru/account/1404171652/", 1404171652)</f>
        <v>1404171652</v>
      </c>
      <c r="D8800">
        <v>0</v>
      </c>
    </row>
    <row r="8801" spans="1:4" hidden="1" x14ac:dyDescent="0.25">
      <c r="A8801" t="s">
        <v>689</v>
      </c>
      <c r="B8801" t="s">
        <v>42</v>
      </c>
      <c r="C8801" s="2">
        <f>HYPERLINK("https://sao.dolgi.msk.ru/account/1404171679/", 1404171679)</f>
        <v>1404171679</v>
      </c>
      <c r="D8801">
        <v>-10369.25</v>
      </c>
    </row>
    <row r="8802" spans="1:4" x14ac:dyDescent="0.25">
      <c r="A8802" t="s">
        <v>689</v>
      </c>
      <c r="B8802" t="s">
        <v>43</v>
      </c>
      <c r="C8802" s="2">
        <f>HYPERLINK("https://sao.dolgi.msk.ru/account/1404171687/", 1404171687)</f>
        <v>1404171687</v>
      </c>
      <c r="D8802">
        <v>9470.73</v>
      </c>
    </row>
    <row r="8803" spans="1:4" hidden="1" x14ac:dyDescent="0.25">
      <c r="A8803" t="s">
        <v>689</v>
      </c>
      <c r="B8803" t="s">
        <v>44</v>
      </c>
      <c r="C8803" s="2">
        <f>HYPERLINK("https://sao.dolgi.msk.ru/account/1404171695/", 1404171695)</f>
        <v>1404171695</v>
      </c>
      <c r="D8803">
        <v>-6360.67</v>
      </c>
    </row>
    <row r="8804" spans="1:4" x14ac:dyDescent="0.25">
      <c r="A8804" t="s">
        <v>689</v>
      </c>
      <c r="B8804" t="s">
        <v>45</v>
      </c>
      <c r="C8804" s="2">
        <f>HYPERLINK("https://sao.dolgi.msk.ru/account/1404171513/", 1404171513)</f>
        <v>1404171513</v>
      </c>
      <c r="D8804">
        <v>57738.33</v>
      </c>
    </row>
    <row r="8805" spans="1:4" x14ac:dyDescent="0.25">
      <c r="A8805" t="s">
        <v>689</v>
      </c>
      <c r="B8805" t="s">
        <v>46</v>
      </c>
      <c r="C8805" s="2">
        <f>HYPERLINK("https://sao.dolgi.msk.ru/account/1404171708/", 1404171708)</f>
        <v>1404171708</v>
      </c>
      <c r="D8805">
        <v>26159.68</v>
      </c>
    </row>
    <row r="8806" spans="1:4" hidden="1" x14ac:dyDescent="0.25">
      <c r="A8806" t="s">
        <v>689</v>
      </c>
      <c r="B8806" t="s">
        <v>47</v>
      </c>
      <c r="C8806" s="2">
        <f>HYPERLINK("https://sao.dolgi.msk.ru/account/1404171521/", 1404171521)</f>
        <v>1404171521</v>
      </c>
      <c r="D8806">
        <v>-10124.879999999999</v>
      </c>
    </row>
    <row r="8807" spans="1:4" x14ac:dyDescent="0.25">
      <c r="A8807" t="s">
        <v>689</v>
      </c>
      <c r="B8807" t="s">
        <v>48</v>
      </c>
      <c r="C8807" s="2">
        <f>HYPERLINK("https://sao.dolgi.msk.ru/account/1404172567/", 1404172567)</f>
        <v>1404172567</v>
      </c>
      <c r="D8807">
        <v>96217.68</v>
      </c>
    </row>
    <row r="8808" spans="1:4" x14ac:dyDescent="0.25">
      <c r="A8808" t="s">
        <v>689</v>
      </c>
      <c r="B8808" t="s">
        <v>49</v>
      </c>
      <c r="C8808" s="2">
        <f>HYPERLINK("https://sao.dolgi.msk.ru/account/1404172655/", 1404172655)</f>
        <v>1404172655</v>
      </c>
      <c r="D8808">
        <v>6195.89</v>
      </c>
    </row>
    <row r="8809" spans="1:4" hidden="1" x14ac:dyDescent="0.25">
      <c r="A8809" t="s">
        <v>689</v>
      </c>
      <c r="B8809" t="s">
        <v>50</v>
      </c>
      <c r="C8809" s="2">
        <f>HYPERLINK("https://sao.dolgi.msk.ru/account/1404172719/", 1404172719)</f>
        <v>1404172719</v>
      </c>
      <c r="D8809">
        <v>0</v>
      </c>
    </row>
    <row r="8810" spans="1:4" x14ac:dyDescent="0.25">
      <c r="A8810" t="s">
        <v>689</v>
      </c>
      <c r="B8810" t="s">
        <v>51</v>
      </c>
      <c r="C8810" s="2">
        <f>HYPERLINK("https://sao.dolgi.msk.ru/account/1404172591/", 1404172591)</f>
        <v>1404172591</v>
      </c>
      <c r="D8810">
        <v>71309.78</v>
      </c>
    </row>
    <row r="8811" spans="1:4" hidden="1" x14ac:dyDescent="0.25">
      <c r="A8811" t="s">
        <v>689</v>
      </c>
      <c r="B8811" t="s">
        <v>52</v>
      </c>
      <c r="C8811" s="2">
        <f>HYPERLINK("https://sao.dolgi.msk.ru/account/1404172604/", 1404172604)</f>
        <v>1404172604</v>
      </c>
      <c r="D8811">
        <v>-6752.95</v>
      </c>
    </row>
    <row r="8812" spans="1:4" hidden="1" x14ac:dyDescent="0.25">
      <c r="A8812" t="s">
        <v>689</v>
      </c>
      <c r="B8812" t="s">
        <v>53</v>
      </c>
      <c r="C8812" s="2">
        <f>HYPERLINK("https://sao.dolgi.msk.ru/account/1404172524/", 1404172524)</f>
        <v>1404172524</v>
      </c>
      <c r="D8812">
        <v>-6121.06</v>
      </c>
    </row>
    <row r="8813" spans="1:4" hidden="1" x14ac:dyDescent="0.25">
      <c r="A8813" t="s">
        <v>689</v>
      </c>
      <c r="B8813" t="s">
        <v>54</v>
      </c>
      <c r="C8813" s="2">
        <f>HYPERLINK("https://sao.dolgi.msk.ru/account/1404172663/", 1404172663)</f>
        <v>1404172663</v>
      </c>
      <c r="D8813">
        <v>-5322.91</v>
      </c>
    </row>
    <row r="8814" spans="1:4" hidden="1" x14ac:dyDescent="0.25">
      <c r="A8814" t="s">
        <v>689</v>
      </c>
      <c r="B8814" t="s">
        <v>55</v>
      </c>
      <c r="C8814" s="2">
        <f>HYPERLINK("https://sao.dolgi.msk.ru/account/1404172639/", 1404172639)</f>
        <v>1404172639</v>
      </c>
      <c r="D8814">
        <v>0</v>
      </c>
    </row>
    <row r="8815" spans="1:4" hidden="1" x14ac:dyDescent="0.25">
      <c r="A8815" t="s">
        <v>689</v>
      </c>
      <c r="B8815" t="s">
        <v>56</v>
      </c>
      <c r="C8815" s="2">
        <f>HYPERLINK("https://sao.dolgi.msk.ru/account/1404172559/", 1404172559)</f>
        <v>1404172559</v>
      </c>
      <c r="D8815">
        <v>-7381.43</v>
      </c>
    </row>
    <row r="8816" spans="1:4" hidden="1" x14ac:dyDescent="0.25">
      <c r="A8816" t="s">
        <v>689</v>
      </c>
      <c r="B8816" t="s">
        <v>57</v>
      </c>
      <c r="C8816" s="2">
        <f>HYPERLINK("https://sao.dolgi.msk.ru/account/1404172727/", 1404172727)</f>
        <v>1404172727</v>
      </c>
      <c r="D8816">
        <v>-12811.25</v>
      </c>
    </row>
    <row r="8817" spans="1:4" hidden="1" x14ac:dyDescent="0.25">
      <c r="A8817" t="s">
        <v>689</v>
      </c>
      <c r="B8817" t="s">
        <v>58</v>
      </c>
      <c r="C8817" s="2">
        <f>HYPERLINK("https://sao.dolgi.msk.ru/account/1404172671/", 1404172671)</f>
        <v>1404172671</v>
      </c>
      <c r="D8817">
        <v>-9520.44</v>
      </c>
    </row>
    <row r="8818" spans="1:4" hidden="1" x14ac:dyDescent="0.25">
      <c r="A8818" t="s">
        <v>689</v>
      </c>
      <c r="B8818" t="s">
        <v>59</v>
      </c>
      <c r="C8818" s="2">
        <f>HYPERLINK("https://sao.dolgi.msk.ru/account/1404172743/", 1404172743)</f>
        <v>1404172743</v>
      </c>
      <c r="D8818">
        <v>-8858.1299999999992</v>
      </c>
    </row>
    <row r="8819" spans="1:4" hidden="1" x14ac:dyDescent="0.25">
      <c r="A8819" t="s">
        <v>689</v>
      </c>
      <c r="B8819" t="s">
        <v>60</v>
      </c>
      <c r="C8819" s="2">
        <f>HYPERLINK("https://sao.dolgi.msk.ru/account/1404172647/", 1404172647)</f>
        <v>1404172647</v>
      </c>
      <c r="D8819">
        <v>-5986.64</v>
      </c>
    </row>
    <row r="8820" spans="1:4" hidden="1" x14ac:dyDescent="0.25">
      <c r="A8820" t="s">
        <v>689</v>
      </c>
      <c r="B8820" t="s">
        <v>61</v>
      </c>
      <c r="C8820" s="2">
        <f>HYPERLINK("https://sao.dolgi.msk.ru/account/1404172778/", 1404172778)</f>
        <v>1404172778</v>
      </c>
      <c r="D8820">
        <v>0</v>
      </c>
    </row>
    <row r="8821" spans="1:4" hidden="1" x14ac:dyDescent="0.25">
      <c r="A8821" t="s">
        <v>689</v>
      </c>
      <c r="B8821" t="s">
        <v>62</v>
      </c>
      <c r="C8821" s="2">
        <f>HYPERLINK("https://sao.dolgi.msk.ru/account/1404172794/", 1404172794)</f>
        <v>1404172794</v>
      </c>
      <c r="D8821">
        <v>0</v>
      </c>
    </row>
    <row r="8822" spans="1:4" hidden="1" x14ac:dyDescent="0.25">
      <c r="A8822" t="s">
        <v>689</v>
      </c>
      <c r="B8822" t="s">
        <v>63</v>
      </c>
      <c r="C8822" s="2">
        <f>HYPERLINK("https://sao.dolgi.msk.ru/account/1404174431/", 1404174431)</f>
        <v>1404174431</v>
      </c>
      <c r="D8822">
        <v>0</v>
      </c>
    </row>
    <row r="8823" spans="1:4" hidden="1" x14ac:dyDescent="0.25">
      <c r="A8823" t="s">
        <v>689</v>
      </c>
      <c r="B8823" t="s">
        <v>64</v>
      </c>
      <c r="C8823" s="2">
        <f>HYPERLINK("https://sao.dolgi.msk.ru/account/1404174458/", 1404174458)</f>
        <v>1404174458</v>
      </c>
      <c r="D8823">
        <v>-5619.32</v>
      </c>
    </row>
    <row r="8824" spans="1:4" hidden="1" x14ac:dyDescent="0.25">
      <c r="A8824" t="s">
        <v>689</v>
      </c>
      <c r="B8824" t="s">
        <v>65</v>
      </c>
      <c r="C8824" s="2">
        <f>HYPERLINK("https://sao.dolgi.msk.ru/account/1404171783/", 1404171783)</f>
        <v>1404171783</v>
      </c>
      <c r="D8824">
        <v>0</v>
      </c>
    </row>
    <row r="8825" spans="1:4" x14ac:dyDescent="0.25">
      <c r="A8825" t="s">
        <v>689</v>
      </c>
      <c r="B8825" t="s">
        <v>66</v>
      </c>
      <c r="C8825" s="2">
        <f>HYPERLINK("https://sao.dolgi.msk.ru/account/1404171732/", 1404171732)</f>
        <v>1404171732</v>
      </c>
      <c r="D8825">
        <v>9935.0499999999993</v>
      </c>
    </row>
    <row r="8826" spans="1:4" hidden="1" x14ac:dyDescent="0.25">
      <c r="A8826" t="s">
        <v>689</v>
      </c>
      <c r="B8826" t="s">
        <v>67</v>
      </c>
      <c r="C8826" s="2">
        <f>HYPERLINK("https://sao.dolgi.msk.ru/account/1404174466/", 1404174466)</f>
        <v>1404174466</v>
      </c>
      <c r="D8826">
        <v>0</v>
      </c>
    </row>
    <row r="8827" spans="1:4" hidden="1" x14ac:dyDescent="0.25">
      <c r="A8827" t="s">
        <v>689</v>
      </c>
      <c r="B8827" t="s">
        <v>68</v>
      </c>
      <c r="C8827" s="2">
        <f>HYPERLINK("https://sao.dolgi.msk.ru/account/1404174474/", 1404174474)</f>
        <v>1404174474</v>
      </c>
      <c r="D8827">
        <v>-6003.09</v>
      </c>
    </row>
    <row r="8828" spans="1:4" hidden="1" x14ac:dyDescent="0.25">
      <c r="A8828" t="s">
        <v>689</v>
      </c>
      <c r="B8828" t="s">
        <v>69</v>
      </c>
      <c r="C8828" s="2">
        <f>HYPERLINK("https://sao.dolgi.msk.ru/account/1404174546/", 1404174546)</f>
        <v>1404174546</v>
      </c>
      <c r="D8828">
        <v>-7219.77</v>
      </c>
    </row>
    <row r="8829" spans="1:4" x14ac:dyDescent="0.25">
      <c r="A8829" t="s">
        <v>689</v>
      </c>
      <c r="B8829" t="s">
        <v>70</v>
      </c>
      <c r="C8829" s="2">
        <f>HYPERLINK("https://sao.dolgi.msk.ru/account/1404174482/", 1404174482)</f>
        <v>1404174482</v>
      </c>
      <c r="D8829">
        <v>6604.24</v>
      </c>
    </row>
    <row r="8830" spans="1:4" hidden="1" x14ac:dyDescent="0.25">
      <c r="A8830" t="s">
        <v>689</v>
      </c>
      <c r="B8830" t="s">
        <v>71</v>
      </c>
      <c r="C8830" s="2">
        <f>HYPERLINK("https://sao.dolgi.msk.ru/account/1404174503/", 1404174503)</f>
        <v>1404174503</v>
      </c>
      <c r="D8830">
        <v>-5491.61</v>
      </c>
    </row>
    <row r="8831" spans="1:4" hidden="1" x14ac:dyDescent="0.25">
      <c r="A8831" t="s">
        <v>689</v>
      </c>
      <c r="B8831" t="s">
        <v>72</v>
      </c>
      <c r="C8831" s="2">
        <f>HYPERLINK("https://sao.dolgi.msk.ru/account/1404174554/", 1404174554)</f>
        <v>1404174554</v>
      </c>
      <c r="D8831">
        <v>-5612.61</v>
      </c>
    </row>
    <row r="8832" spans="1:4" x14ac:dyDescent="0.25">
      <c r="A8832" t="s">
        <v>689</v>
      </c>
      <c r="B8832" t="s">
        <v>73</v>
      </c>
      <c r="C8832" s="2">
        <f>HYPERLINK("https://sao.dolgi.msk.ru/account/1404174562/", 1404174562)</f>
        <v>1404174562</v>
      </c>
      <c r="D8832">
        <v>34232.35</v>
      </c>
    </row>
    <row r="8833" spans="1:4" x14ac:dyDescent="0.25">
      <c r="A8833" t="s">
        <v>689</v>
      </c>
      <c r="B8833" t="s">
        <v>74</v>
      </c>
      <c r="C8833" s="2">
        <f>HYPERLINK("https://sao.dolgi.msk.ru/account/1404174589/", 1404174589)</f>
        <v>1404174589</v>
      </c>
      <c r="D8833">
        <v>8914.26</v>
      </c>
    </row>
    <row r="8834" spans="1:4" x14ac:dyDescent="0.25">
      <c r="A8834" t="s">
        <v>689</v>
      </c>
      <c r="B8834" t="s">
        <v>75</v>
      </c>
      <c r="C8834" s="2">
        <f>HYPERLINK("https://sao.dolgi.msk.ru/account/1404174511/", 1404174511)</f>
        <v>1404174511</v>
      </c>
      <c r="D8834">
        <v>18522.650000000001</v>
      </c>
    </row>
    <row r="8835" spans="1:4" hidden="1" x14ac:dyDescent="0.25">
      <c r="A8835" t="s">
        <v>689</v>
      </c>
      <c r="B8835" t="s">
        <v>76</v>
      </c>
      <c r="C8835" s="2">
        <f>HYPERLINK("https://sao.dolgi.msk.ru/account/1404174597/", 1404174597)</f>
        <v>1404174597</v>
      </c>
      <c r="D8835">
        <v>0</v>
      </c>
    </row>
    <row r="8836" spans="1:4" hidden="1" x14ac:dyDescent="0.25">
      <c r="A8836" t="s">
        <v>689</v>
      </c>
      <c r="B8836" t="s">
        <v>77</v>
      </c>
      <c r="C8836" s="2">
        <f>HYPERLINK("https://sao.dolgi.msk.ru/account/1404174538/", 1404174538)</f>
        <v>1404174538</v>
      </c>
      <c r="D8836">
        <v>-291.8</v>
      </c>
    </row>
    <row r="8837" spans="1:4" hidden="1" x14ac:dyDescent="0.25">
      <c r="A8837" t="s">
        <v>689</v>
      </c>
      <c r="B8837" t="s">
        <v>78</v>
      </c>
      <c r="C8837" s="2">
        <f>HYPERLINK("https://sao.dolgi.msk.ru/account/1404172858/", 1404172858)</f>
        <v>1404172858</v>
      </c>
      <c r="D8837">
        <v>-11372.65</v>
      </c>
    </row>
    <row r="8838" spans="1:4" hidden="1" x14ac:dyDescent="0.25">
      <c r="A8838" t="s">
        <v>689</v>
      </c>
      <c r="B8838" t="s">
        <v>79</v>
      </c>
      <c r="C8838" s="2">
        <f>HYPERLINK("https://sao.dolgi.msk.ru/account/1404172866/", 1404172866)</f>
        <v>1404172866</v>
      </c>
      <c r="D8838">
        <v>0</v>
      </c>
    </row>
    <row r="8839" spans="1:4" hidden="1" x14ac:dyDescent="0.25">
      <c r="A8839" t="s">
        <v>689</v>
      </c>
      <c r="B8839" t="s">
        <v>80</v>
      </c>
      <c r="C8839" s="2">
        <f>HYPERLINK("https://sao.dolgi.msk.ru/account/1404293772/", 1404293772)</f>
        <v>1404293772</v>
      </c>
      <c r="D8839">
        <v>-7723.72</v>
      </c>
    </row>
    <row r="8840" spans="1:4" x14ac:dyDescent="0.25">
      <c r="A8840" t="s">
        <v>689</v>
      </c>
      <c r="B8840" t="s">
        <v>81</v>
      </c>
      <c r="C8840" s="2">
        <f>HYPERLINK("https://sao.dolgi.msk.ru/account/1404172831/", 1404172831)</f>
        <v>1404172831</v>
      </c>
      <c r="D8840">
        <v>5078.97</v>
      </c>
    </row>
    <row r="8841" spans="1:4" hidden="1" x14ac:dyDescent="0.25">
      <c r="A8841" t="s">
        <v>689</v>
      </c>
      <c r="B8841" t="s">
        <v>82</v>
      </c>
      <c r="C8841" s="2">
        <f>HYPERLINK("https://sao.dolgi.msk.ru/account/1404172874/", 1404172874)</f>
        <v>1404172874</v>
      </c>
      <c r="D8841">
        <v>-13859.24</v>
      </c>
    </row>
    <row r="8842" spans="1:4" x14ac:dyDescent="0.25">
      <c r="A8842" t="s">
        <v>689</v>
      </c>
      <c r="B8842" t="s">
        <v>83</v>
      </c>
      <c r="C8842" s="2">
        <f>HYPERLINK("https://sao.dolgi.msk.ru/account/1404172882/", 1404172882)</f>
        <v>1404172882</v>
      </c>
      <c r="D8842">
        <v>14162.86</v>
      </c>
    </row>
    <row r="8843" spans="1:4" hidden="1" x14ac:dyDescent="0.25">
      <c r="A8843" t="s">
        <v>689</v>
      </c>
      <c r="B8843" t="s">
        <v>84</v>
      </c>
      <c r="C8843" s="2">
        <f>HYPERLINK("https://sao.dolgi.msk.ru/account/1404172903/", 1404172903)</f>
        <v>1404172903</v>
      </c>
      <c r="D8843">
        <v>-8242.92</v>
      </c>
    </row>
    <row r="8844" spans="1:4" hidden="1" x14ac:dyDescent="0.25">
      <c r="A8844" t="s">
        <v>689</v>
      </c>
      <c r="B8844" t="s">
        <v>85</v>
      </c>
      <c r="C8844" s="2">
        <f>HYPERLINK("https://sao.dolgi.msk.ru/account/1404293764/", 1404293764)</f>
        <v>1404293764</v>
      </c>
      <c r="D8844">
        <v>-8276.65</v>
      </c>
    </row>
    <row r="8845" spans="1:4" hidden="1" x14ac:dyDescent="0.25">
      <c r="A8845" t="s">
        <v>689</v>
      </c>
      <c r="B8845" t="s">
        <v>86</v>
      </c>
      <c r="C8845" s="2">
        <f>HYPERLINK("https://sao.dolgi.msk.ru/account/1404172911/", 1404172911)</f>
        <v>1404172911</v>
      </c>
      <c r="D8845">
        <v>0</v>
      </c>
    </row>
    <row r="8846" spans="1:4" hidden="1" x14ac:dyDescent="0.25">
      <c r="A8846" t="s">
        <v>689</v>
      </c>
      <c r="B8846" t="s">
        <v>87</v>
      </c>
      <c r="C8846" s="2">
        <f>HYPERLINK("https://sao.dolgi.msk.ru/account/1404172938/", 1404172938)</f>
        <v>1404172938</v>
      </c>
      <c r="D8846">
        <v>-9368.9599999999991</v>
      </c>
    </row>
    <row r="8847" spans="1:4" x14ac:dyDescent="0.25">
      <c r="A8847" t="s">
        <v>690</v>
      </c>
      <c r="B8847" t="s">
        <v>5</v>
      </c>
      <c r="C8847" s="2">
        <f>HYPERLINK("https://sao.dolgi.msk.ru/account/1404188104/", 1404188104)</f>
        <v>1404188104</v>
      </c>
      <c r="D8847">
        <v>848.34</v>
      </c>
    </row>
    <row r="8848" spans="1:4" hidden="1" x14ac:dyDescent="0.25">
      <c r="A8848" t="s">
        <v>690</v>
      </c>
      <c r="B8848" t="s">
        <v>6</v>
      </c>
      <c r="C8848" s="2">
        <f>HYPERLINK("https://sao.dolgi.msk.ru/account/1404187566/", 1404187566)</f>
        <v>1404187566</v>
      </c>
      <c r="D8848">
        <v>-5809.8</v>
      </c>
    </row>
    <row r="8849" spans="1:4" hidden="1" x14ac:dyDescent="0.25">
      <c r="A8849" t="s">
        <v>690</v>
      </c>
      <c r="B8849" t="s">
        <v>7</v>
      </c>
      <c r="C8849" s="2">
        <f>HYPERLINK("https://sao.dolgi.msk.ru/account/1404188155/", 1404188155)</f>
        <v>1404188155</v>
      </c>
      <c r="D8849">
        <v>-7530.58</v>
      </c>
    </row>
    <row r="8850" spans="1:4" hidden="1" x14ac:dyDescent="0.25">
      <c r="A8850" t="s">
        <v>690</v>
      </c>
      <c r="B8850" t="s">
        <v>8</v>
      </c>
      <c r="C8850" s="2">
        <f>HYPERLINK("https://sao.dolgi.msk.ru/account/1404188016/", 1404188016)</f>
        <v>1404188016</v>
      </c>
      <c r="D8850">
        <v>-9487.67</v>
      </c>
    </row>
    <row r="8851" spans="1:4" hidden="1" x14ac:dyDescent="0.25">
      <c r="A8851" t="s">
        <v>690</v>
      </c>
      <c r="B8851" t="s">
        <v>9</v>
      </c>
      <c r="C8851" s="2">
        <f>HYPERLINK("https://sao.dolgi.msk.ru/account/1404188497/", 1404188497)</f>
        <v>1404188497</v>
      </c>
      <c r="D8851">
        <v>0</v>
      </c>
    </row>
    <row r="8852" spans="1:4" hidden="1" x14ac:dyDescent="0.25">
      <c r="A8852" t="s">
        <v>690</v>
      </c>
      <c r="B8852" t="s">
        <v>10</v>
      </c>
      <c r="C8852" s="2">
        <f>HYPERLINK("https://sao.dolgi.msk.ru/account/1404187283/", 1404187283)</f>
        <v>1404187283</v>
      </c>
      <c r="D8852">
        <v>0</v>
      </c>
    </row>
    <row r="8853" spans="1:4" x14ac:dyDescent="0.25">
      <c r="A8853" t="s">
        <v>690</v>
      </c>
      <c r="B8853" t="s">
        <v>11</v>
      </c>
      <c r="C8853" s="2">
        <f>HYPERLINK("https://sao.dolgi.msk.ru/account/1404188008/", 1404188008)</f>
        <v>1404188008</v>
      </c>
      <c r="D8853">
        <v>23756.41</v>
      </c>
    </row>
    <row r="8854" spans="1:4" hidden="1" x14ac:dyDescent="0.25">
      <c r="A8854" t="s">
        <v>690</v>
      </c>
      <c r="B8854" t="s">
        <v>12</v>
      </c>
      <c r="C8854" s="2">
        <f>HYPERLINK("https://sao.dolgi.msk.ru/account/1404187208/", 1404187208)</f>
        <v>1404187208</v>
      </c>
      <c r="D8854">
        <v>0</v>
      </c>
    </row>
    <row r="8855" spans="1:4" hidden="1" x14ac:dyDescent="0.25">
      <c r="A8855" t="s">
        <v>690</v>
      </c>
      <c r="B8855" t="s">
        <v>13</v>
      </c>
      <c r="C8855" s="2">
        <f>HYPERLINK("https://sao.dolgi.msk.ru/account/1404188753/", 1404188753)</f>
        <v>1404188753</v>
      </c>
      <c r="D8855">
        <v>-5803.84</v>
      </c>
    </row>
    <row r="8856" spans="1:4" hidden="1" x14ac:dyDescent="0.25">
      <c r="A8856" t="s">
        <v>690</v>
      </c>
      <c r="B8856" t="s">
        <v>14</v>
      </c>
      <c r="C8856" s="2">
        <f>HYPERLINK("https://sao.dolgi.msk.ru/account/1404187355/", 1404187355)</f>
        <v>1404187355</v>
      </c>
      <c r="D8856">
        <v>-5974.97</v>
      </c>
    </row>
    <row r="8857" spans="1:4" hidden="1" x14ac:dyDescent="0.25">
      <c r="A8857" t="s">
        <v>690</v>
      </c>
      <c r="B8857" t="s">
        <v>15</v>
      </c>
      <c r="C8857" s="2">
        <f>HYPERLINK("https://sao.dolgi.msk.ru/account/1404187582/", 1404187582)</f>
        <v>1404187582</v>
      </c>
      <c r="D8857">
        <v>0</v>
      </c>
    </row>
    <row r="8858" spans="1:4" hidden="1" x14ac:dyDescent="0.25">
      <c r="A8858" t="s">
        <v>690</v>
      </c>
      <c r="B8858" t="s">
        <v>16</v>
      </c>
      <c r="C8858" s="2">
        <f>HYPERLINK("https://sao.dolgi.msk.ru/account/1404187531/", 1404187531)</f>
        <v>1404187531</v>
      </c>
      <c r="D8858">
        <v>-8045.11</v>
      </c>
    </row>
    <row r="8859" spans="1:4" hidden="1" x14ac:dyDescent="0.25">
      <c r="A8859" t="s">
        <v>690</v>
      </c>
      <c r="B8859" t="s">
        <v>17</v>
      </c>
      <c r="C8859" s="2">
        <f>HYPERLINK("https://sao.dolgi.msk.ru/account/1404187734/", 1404187734)</f>
        <v>1404187734</v>
      </c>
      <c r="D8859">
        <v>0</v>
      </c>
    </row>
    <row r="8860" spans="1:4" x14ac:dyDescent="0.25">
      <c r="A8860" t="s">
        <v>690</v>
      </c>
      <c r="B8860" t="s">
        <v>18</v>
      </c>
      <c r="C8860" s="2">
        <f>HYPERLINK("https://sao.dolgi.msk.ru/account/1404187312/", 1404187312)</f>
        <v>1404187312</v>
      </c>
      <c r="D8860">
        <v>41719.71</v>
      </c>
    </row>
    <row r="8861" spans="1:4" hidden="1" x14ac:dyDescent="0.25">
      <c r="A8861" t="s">
        <v>690</v>
      </c>
      <c r="B8861" t="s">
        <v>19</v>
      </c>
      <c r="C8861" s="2">
        <f>HYPERLINK("https://sao.dolgi.msk.ru/account/1404187937/", 1404187937)</f>
        <v>1404187937</v>
      </c>
      <c r="D8861">
        <v>-5811.3</v>
      </c>
    </row>
    <row r="8862" spans="1:4" hidden="1" x14ac:dyDescent="0.25">
      <c r="A8862" t="s">
        <v>690</v>
      </c>
      <c r="B8862" t="s">
        <v>20</v>
      </c>
      <c r="C8862" s="2">
        <f>HYPERLINK("https://sao.dolgi.msk.ru/account/1404188577/", 1404188577)</f>
        <v>1404188577</v>
      </c>
      <c r="D8862">
        <v>0</v>
      </c>
    </row>
    <row r="8863" spans="1:4" x14ac:dyDescent="0.25">
      <c r="A8863" t="s">
        <v>690</v>
      </c>
      <c r="B8863" t="s">
        <v>21</v>
      </c>
      <c r="C8863" s="2">
        <f>HYPERLINK("https://sao.dolgi.msk.ru/account/1404187558/", 1404187558)</f>
        <v>1404187558</v>
      </c>
      <c r="D8863">
        <v>17735.900000000001</v>
      </c>
    </row>
    <row r="8864" spans="1:4" hidden="1" x14ac:dyDescent="0.25">
      <c r="A8864" t="s">
        <v>690</v>
      </c>
      <c r="B8864" t="s">
        <v>22</v>
      </c>
      <c r="C8864" s="2">
        <f>HYPERLINK("https://sao.dolgi.msk.ru/account/1404188059/", 1404188059)</f>
        <v>1404188059</v>
      </c>
      <c r="D8864">
        <v>-6133.49</v>
      </c>
    </row>
    <row r="8865" spans="1:4" hidden="1" x14ac:dyDescent="0.25">
      <c r="A8865" t="s">
        <v>690</v>
      </c>
      <c r="B8865" t="s">
        <v>23</v>
      </c>
      <c r="C8865" s="2">
        <f>HYPERLINK("https://sao.dolgi.msk.ru/account/1404188286/", 1404188286)</f>
        <v>1404188286</v>
      </c>
      <c r="D8865">
        <v>0.1</v>
      </c>
    </row>
    <row r="8866" spans="1:4" hidden="1" x14ac:dyDescent="0.25">
      <c r="A8866" t="s">
        <v>690</v>
      </c>
      <c r="B8866" t="s">
        <v>24</v>
      </c>
      <c r="C8866" s="2">
        <f>HYPERLINK("https://sao.dolgi.msk.ru/account/1404188294/", 1404188294)</f>
        <v>1404188294</v>
      </c>
      <c r="D8866">
        <v>0</v>
      </c>
    </row>
    <row r="8867" spans="1:4" hidden="1" x14ac:dyDescent="0.25">
      <c r="A8867" t="s">
        <v>690</v>
      </c>
      <c r="B8867" t="s">
        <v>25</v>
      </c>
      <c r="C8867" s="2">
        <f>HYPERLINK("https://sao.dolgi.msk.ru/account/1404188585/", 1404188585)</f>
        <v>1404188585</v>
      </c>
      <c r="D8867">
        <v>-5863.56</v>
      </c>
    </row>
    <row r="8868" spans="1:4" hidden="1" x14ac:dyDescent="0.25">
      <c r="A8868" t="s">
        <v>690</v>
      </c>
      <c r="B8868" t="s">
        <v>26</v>
      </c>
      <c r="C8868" s="2">
        <f>HYPERLINK("https://sao.dolgi.msk.ru/account/1404187742/", 1404187742)</f>
        <v>1404187742</v>
      </c>
      <c r="D8868">
        <v>-5660</v>
      </c>
    </row>
    <row r="8869" spans="1:4" hidden="1" x14ac:dyDescent="0.25">
      <c r="A8869" t="s">
        <v>690</v>
      </c>
      <c r="B8869" t="s">
        <v>27</v>
      </c>
      <c r="C8869" s="2">
        <f>HYPERLINK("https://sao.dolgi.msk.ru/account/1404187363/", 1404187363)</f>
        <v>1404187363</v>
      </c>
      <c r="D8869">
        <v>-6386.17</v>
      </c>
    </row>
    <row r="8870" spans="1:4" hidden="1" x14ac:dyDescent="0.25">
      <c r="A8870" t="s">
        <v>690</v>
      </c>
      <c r="B8870" t="s">
        <v>28</v>
      </c>
      <c r="C8870" s="2">
        <f>HYPERLINK("https://sao.dolgi.msk.ru/account/1404188112/", 1404188112)</f>
        <v>1404188112</v>
      </c>
      <c r="D8870">
        <v>-5477.84</v>
      </c>
    </row>
    <row r="8871" spans="1:4" hidden="1" x14ac:dyDescent="0.25">
      <c r="A8871" t="s">
        <v>690</v>
      </c>
      <c r="B8871" t="s">
        <v>29</v>
      </c>
      <c r="C8871" s="2">
        <f>HYPERLINK("https://sao.dolgi.msk.ru/account/1404187371/", 1404187371)</f>
        <v>1404187371</v>
      </c>
      <c r="D8871">
        <v>-6305</v>
      </c>
    </row>
    <row r="8872" spans="1:4" hidden="1" x14ac:dyDescent="0.25">
      <c r="A8872" t="s">
        <v>690</v>
      </c>
      <c r="B8872" t="s">
        <v>30</v>
      </c>
      <c r="C8872" s="2">
        <f>HYPERLINK("https://sao.dolgi.msk.ru/account/1404187398/", 1404187398)</f>
        <v>1404187398</v>
      </c>
      <c r="D8872">
        <v>-5352.05</v>
      </c>
    </row>
    <row r="8873" spans="1:4" hidden="1" x14ac:dyDescent="0.25">
      <c r="A8873" t="s">
        <v>690</v>
      </c>
      <c r="B8873" t="s">
        <v>31</v>
      </c>
      <c r="C8873" s="2">
        <f>HYPERLINK("https://sao.dolgi.msk.ru/account/1404187806/", 1404187806)</f>
        <v>1404187806</v>
      </c>
      <c r="D8873">
        <v>0</v>
      </c>
    </row>
    <row r="8874" spans="1:4" hidden="1" x14ac:dyDescent="0.25">
      <c r="A8874" t="s">
        <v>690</v>
      </c>
      <c r="B8874" t="s">
        <v>32</v>
      </c>
      <c r="C8874" s="2">
        <f>HYPERLINK("https://sao.dolgi.msk.ru/account/1404188139/", 1404188139)</f>
        <v>1404188139</v>
      </c>
      <c r="D8874">
        <v>-7743.08</v>
      </c>
    </row>
    <row r="8875" spans="1:4" hidden="1" x14ac:dyDescent="0.25">
      <c r="A8875" t="s">
        <v>690</v>
      </c>
      <c r="B8875" t="s">
        <v>33</v>
      </c>
      <c r="C8875" s="2">
        <f>HYPERLINK("https://sao.dolgi.msk.ru/account/1404188147/", 1404188147)</f>
        <v>1404188147</v>
      </c>
      <c r="D8875">
        <v>-6691.57</v>
      </c>
    </row>
    <row r="8876" spans="1:4" hidden="1" x14ac:dyDescent="0.25">
      <c r="A8876" t="s">
        <v>690</v>
      </c>
      <c r="B8876" t="s">
        <v>34</v>
      </c>
      <c r="C8876" s="2">
        <f>HYPERLINK("https://sao.dolgi.msk.ru/account/1404187814/", 1404187814)</f>
        <v>1404187814</v>
      </c>
      <c r="D8876">
        <v>-6233.17</v>
      </c>
    </row>
    <row r="8877" spans="1:4" hidden="1" x14ac:dyDescent="0.25">
      <c r="A8877" t="s">
        <v>690</v>
      </c>
      <c r="B8877" t="s">
        <v>35</v>
      </c>
      <c r="C8877" s="2">
        <f>HYPERLINK("https://sao.dolgi.msk.ru/account/1404187822/", 1404187822)</f>
        <v>1404187822</v>
      </c>
      <c r="D8877">
        <v>-6306.58</v>
      </c>
    </row>
    <row r="8878" spans="1:4" hidden="1" x14ac:dyDescent="0.25">
      <c r="A8878" t="s">
        <v>690</v>
      </c>
      <c r="B8878" t="s">
        <v>36</v>
      </c>
      <c r="C8878" s="2">
        <f>HYPERLINK("https://sao.dolgi.msk.ru/account/1404188606/", 1404188606)</f>
        <v>1404188606</v>
      </c>
      <c r="D8878">
        <v>-6084.1</v>
      </c>
    </row>
    <row r="8879" spans="1:4" x14ac:dyDescent="0.25">
      <c r="A8879" t="s">
        <v>690</v>
      </c>
      <c r="B8879" t="s">
        <v>37</v>
      </c>
      <c r="C8879" s="2">
        <f>HYPERLINK("https://sao.dolgi.msk.ru/account/1404188307/", 1404188307)</f>
        <v>1404188307</v>
      </c>
      <c r="D8879">
        <v>26672.32</v>
      </c>
    </row>
    <row r="8880" spans="1:4" hidden="1" x14ac:dyDescent="0.25">
      <c r="A8880" t="s">
        <v>690</v>
      </c>
      <c r="B8880" t="s">
        <v>38</v>
      </c>
      <c r="C8880" s="2">
        <f>HYPERLINK("https://sao.dolgi.msk.ru/account/1404187638/", 1404187638)</f>
        <v>1404187638</v>
      </c>
      <c r="D8880">
        <v>-2773.72</v>
      </c>
    </row>
    <row r="8881" spans="1:4" hidden="1" x14ac:dyDescent="0.25">
      <c r="A8881" t="s">
        <v>690</v>
      </c>
      <c r="B8881" t="s">
        <v>39</v>
      </c>
      <c r="C8881" s="2">
        <f>HYPERLINK("https://sao.dolgi.msk.ru/account/1404188614/", 1404188614)</f>
        <v>1404188614</v>
      </c>
      <c r="D8881">
        <v>-6622.14</v>
      </c>
    </row>
    <row r="8882" spans="1:4" hidden="1" x14ac:dyDescent="0.25">
      <c r="A8882" t="s">
        <v>690</v>
      </c>
      <c r="B8882" t="s">
        <v>40</v>
      </c>
      <c r="C8882" s="2">
        <f>HYPERLINK("https://sao.dolgi.msk.ru/account/1404188315/", 1404188315)</f>
        <v>1404188315</v>
      </c>
      <c r="D8882">
        <v>-8903.11</v>
      </c>
    </row>
    <row r="8883" spans="1:4" hidden="1" x14ac:dyDescent="0.25">
      <c r="A8883" t="s">
        <v>690</v>
      </c>
      <c r="B8883" t="s">
        <v>41</v>
      </c>
      <c r="C8883" s="2">
        <f>HYPERLINK("https://sao.dolgi.msk.ru/account/1404188323/", 1404188323)</f>
        <v>1404188323</v>
      </c>
      <c r="D8883">
        <v>0</v>
      </c>
    </row>
    <row r="8884" spans="1:4" hidden="1" x14ac:dyDescent="0.25">
      <c r="A8884" t="s">
        <v>690</v>
      </c>
      <c r="B8884" t="s">
        <v>42</v>
      </c>
      <c r="C8884" s="2">
        <f>HYPERLINK("https://sao.dolgi.msk.ru/account/1404188446/", 1404188446)</f>
        <v>1404188446</v>
      </c>
      <c r="D8884">
        <v>0</v>
      </c>
    </row>
    <row r="8885" spans="1:4" hidden="1" x14ac:dyDescent="0.25">
      <c r="A8885" t="s">
        <v>690</v>
      </c>
      <c r="B8885" t="s">
        <v>43</v>
      </c>
      <c r="C8885" s="2">
        <f>HYPERLINK("https://sao.dolgi.msk.ru/account/1404187881/", 1404187881)</f>
        <v>1404187881</v>
      </c>
      <c r="D8885">
        <v>-3491.42</v>
      </c>
    </row>
    <row r="8886" spans="1:4" hidden="1" x14ac:dyDescent="0.25">
      <c r="A8886" t="s">
        <v>690</v>
      </c>
      <c r="B8886" t="s">
        <v>44</v>
      </c>
      <c r="C8886" s="2">
        <f>HYPERLINK("https://sao.dolgi.msk.ru/account/1404188454/", 1404188454)</f>
        <v>1404188454</v>
      </c>
      <c r="D8886">
        <v>-6907.92</v>
      </c>
    </row>
    <row r="8887" spans="1:4" hidden="1" x14ac:dyDescent="0.25">
      <c r="A8887" t="s">
        <v>690</v>
      </c>
      <c r="B8887" t="s">
        <v>45</v>
      </c>
      <c r="C8887" s="2">
        <f>HYPERLINK("https://sao.dolgi.msk.ru/account/1404188657/", 1404188657)</f>
        <v>1404188657</v>
      </c>
      <c r="D8887">
        <v>-7188.98</v>
      </c>
    </row>
    <row r="8888" spans="1:4" hidden="1" x14ac:dyDescent="0.25">
      <c r="A8888" t="s">
        <v>690</v>
      </c>
      <c r="B8888" t="s">
        <v>46</v>
      </c>
      <c r="C8888" s="2">
        <f>HYPERLINK("https://sao.dolgi.msk.ru/account/1404188235/", 1404188235)</f>
        <v>1404188235</v>
      </c>
      <c r="D8888">
        <v>-3212.12</v>
      </c>
    </row>
    <row r="8889" spans="1:4" hidden="1" x14ac:dyDescent="0.25">
      <c r="A8889" t="s">
        <v>690</v>
      </c>
      <c r="B8889" t="s">
        <v>47</v>
      </c>
      <c r="C8889" s="2">
        <f>HYPERLINK("https://sao.dolgi.msk.ru/account/1404187259/", 1404187259)</f>
        <v>1404187259</v>
      </c>
      <c r="D8889">
        <v>-7068.2</v>
      </c>
    </row>
    <row r="8890" spans="1:4" hidden="1" x14ac:dyDescent="0.25">
      <c r="A8890" t="s">
        <v>690</v>
      </c>
      <c r="B8890" t="s">
        <v>48</v>
      </c>
      <c r="C8890" s="2">
        <f>HYPERLINK("https://sao.dolgi.msk.ru/account/1404187267/", 1404187267)</f>
        <v>1404187267</v>
      </c>
      <c r="D8890">
        <v>-7775.59</v>
      </c>
    </row>
    <row r="8891" spans="1:4" hidden="1" x14ac:dyDescent="0.25">
      <c r="A8891" t="s">
        <v>690</v>
      </c>
      <c r="B8891" t="s">
        <v>49</v>
      </c>
      <c r="C8891" s="2">
        <f>HYPERLINK("https://sao.dolgi.msk.ru/account/1404187902/", 1404187902)</f>
        <v>1404187902</v>
      </c>
      <c r="D8891">
        <v>0</v>
      </c>
    </row>
    <row r="8892" spans="1:4" hidden="1" x14ac:dyDescent="0.25">
      <c r="A8892" t="s">
        <v>690</v>
      </c>
      <c r="B8892" t="s">
        <v>50</v>
      </c>
      <c r="C8892" s="2">
        <f>HYPERLINK("https://sao.dolgi.msk.ru/account/1404188462/", 1404188462)</f>
        <v>1404188462</v>
      </c>
      <c r="D8892">
        <v>-6411.35</v>
      </c>
    </row>
    <row r="8893" spans="1:4" hidden="1" x14ac:dyDescent="0.25">
      <c r="A8893" t="s">
        <v>690</v>
      </c>
      <c r="B8893" t="s">
        <v>51</v>
      </c>
      <c r="C8893" s="2">
        <f>HYPERLINK("https://sao.dolgi.msk.ru/account/1404188489/", 1404188489)</f>
        <v>1404188489</v>
      </c>
      <c r="D8893">
        <v>-1731.79</v>
      </c>
    </row>
    <row r="8894" spans="1:4" hidden="1" x14ac:dyDescent="0.25">
      <c r="A8894" t="s">
        <v>690</v>
      </c>
      <c r="B8894" t="s">
        <v>52</v>
      </c>
      <c r="C8894" s="2">
        <f>HYPERLINK("https://sao.dolgi.msk.ru/account/1404187662/", 1404187662)</f>
        <v>1404187662</v>
      </c>
      <c r="D8894">
        <v>-15963.74</v>
      </c>
    </row>
    <row r="8895" spans="1:4" hidden="1" x14ac:dyDescent="0.25">
      <c r="A8895" t="s">
        <v>690</v>
      </c>
      <c r="B8895" t="s">
        <v>53</v>
      </c>
      <c r="C8895" s="2">
        <f>HYPERLINK("https://sao.dolgi.msk.ru/account/1404188665/", 1404188665)</f>
        <v>1404188665</v>
      </c>
      <c r="D8895">
        <v>0</v>
      </c>
    </row>
    <row r="8896" spans="1:4" hidden="1" x14ac:dyDescent="0.25">
      <c r="A8896" t="s">
        <v>690</v>
      </c>
      <c r="B8896" t="s">
        <v>54</v>
      </c>
      <c r="C8896" s="2">
        <f>HYPERLINK("https://sao.dolgi.msk.ru/account/1404188673/", 1404188673)</f>
        <v>1404188673</v>
      </c>
      <c r="D8896">
        <v>-6158.65</v>
      </c>
    </row>
    <row r="8897" spans="1:4" hidden="1" x14ac:dyDescent="0.25">
      <c r="A8897" t="s">
        <v>690</v>
      </c>
      <c r="B8897" t="s">
        <v>55</v>
      </c>
      <c r="C8897" s="2">
        <f>HYPERLINK("https://sao.dolgi.msk.ru/account/1404188243/", 1404188243)</f>
        <v>1404188243</v>
      </c>
      <c r="D8897">
        <v>-6036.85</v>
      </c>
    </row>
    <row r="8898" spans="1:4" hidden="1" x14ac:dyDescent="0.25">
      <c r="A8898" t="s">
        <v>690</v>
      </c>
      <c r="B8898" t="s">
        <v>56</v>
      </c>
      <c r="C8898" s="2">
        <f>HYPERLINK("https://sao.dolgi.msk.ru/account/1404188518/", 1404188518)</f>
        <v>1404188518</v>
      </c>
      <c r="D8898">
        <v>-5770.48</v>
      </c>
    </row>
    <row r="8899" spans="1:4" hidden="1" x14ac:dyDescent="0.25">
      <c r="A8899" t="s">
        <v>690</v>
      </c>
      <c r="B8899" t="s">
        <v>57</v>
      </c>
      <c r="C8899" s="2">
        <f>HYPERLINK("https://sao.dolgi.msk.ru/account/1404187478/", 1404187478)</f>
        <v>1404187478</v>
      </c>
      <c r="D8899">
        <v>-12752.96</v>
      </c>
    </row>
    <row r="8900" spans="1:4" hidden="1" x14ac:dyDescent="0.25">
      <c r="A8900" t="s">
        <v>690</v>
      </c>
      <c r="B8900" t="s">
        <v>58</v>
      </c>
      <c r="C8900" s="2">
        <f>HYPERLINK("https://sao.dolgi.msk.ru/account/1404187275/", 1404187275)</f>
        <v>1404187275</v>
      </c>
      <c r="D8900">
        <v>-2891.25</v>
      </c>
    </row>
    <row r="8901" spans="1:4" hidden="1" x14ac:dyDescent="0.25">
      <c r="A8901" t="s">
        <v>690</v>
      </c>
      <c r="B8901" t="s">
        <v>58</v>
      </c>
      <c r="C8901" s="2">
        <f>HYPERLINK("https://sao.dolgi.msk.ru/account/1404187486/", 1404187486)</f>
        <v>1404187486</v>
      </c>
      <c r="D8901">
        <v>-3768.29</v>
      </c>
    </row>
    <row r="8902" spans="1:4" hidden="1" x14ac:dyDescent="0.25">
      <c r="A8902" t="s">
        <v>690</v>
      </c>
      <c r="B8902" t="s">
        <v>59</v>
      </c>
      <c r="C8902" s="2">
        <f>HYPERLINK("https://sao.dolgi.msk.ru/account/1404188526/", 1404188526)</f>
        <v>1404188526</v>
      </c>
      <c r="D8902">
        <v>-8939.09</v>
      </c>
    </row>
    <row r="8903" spans="1:4" hidden="1" x14ac:dyDescent="0.25">
      <c r="A8903" t="s">
        <v>690</v>
      </c>
      <c r="B8903" t="s">
        <v>60</v>
      </c>
      <c r="C8903" s="2">
        <f>HYPERLINK("https://sao.dolgi.msk.ru/account/1404187689/", 1404187689)</f>
        <v>1404187689</v>
      </c>
      <c r="D8903">
        <v>0</v>
      </c>
    </row>
    <row r="8904" spans="1:4" x14ac:dyDescent="0.25">
      <c r="A8904" t="s">
        <v>690</v>
      </c>
      <c r="B8904" t="s">
        <v>61</v>
      </c>
      <c r="C8904" s="2">
        <f>HYPERLINK("https://sao.dolgi.msk.ru/account/1404187697/", 1404187697)</f>
        <v>1404187697</v>
      </c>
      <c r="D8904">
        <v>70862.929999999993</v>
      </c>
    </row>
    <row r="8905" spans="1:4" hidden="1" x14ac:dyDescent="0.25">
      <c r="A8905" t="s">
        <v>690</v>
      </c>
      <c r="B8905" t="s">
        <v>62</v>
      </c>
      <c r="C8905" s="2">
        <f>HYPERLINK("https://sao.dolgi.msk.ru/account/1404187494/", 1404187494)</f>
        <v>1404187494</v>
      </c>
      <c r="D8905">
        <v>0</v>
      </c>
    </row>
    <row r="8906" spans="1:4" hidden="1" x14ac:dyDescent="0.25">
      <c r="A8906" t="s">
        <v>690</v>
      </c>
      <c r="B8906" t="s">
        <v>63</v>
      </c>
      <c r="C8906" s="2">
        <f>HYPERLINK("https://sao.dolgi.msk.ru/account/1404188681/", 1404188681)</f>
        <v>1404188681</v>
      </c>
      <c r="D8906">
        <v>-1476.72</v>
      </c>
    </row>
    <row r="8907" spans="1:4" x14ac:dyDescent="0.25">
      <c r="A8907" t="s">
        <v>690</v>
      </c>
      <c r="B8907" t="s">
        <v>64</v>
      </c>
      <c r="C8907" s="2">
        <f>HYPERLINK("https://sao.dolgi.msk.ru/account/1404188534/", 1404188534)</f>
        <v>1404188534</v>
      </c>
      <c r="D8907">
        <v>630</v>
      </c>
    </row>
    <row r="8908" spans="1:4" x14ac:dyDescent="0.25">
      <c r="A8908" t="s">
        <v>690</v>
      </c>
      <c r="B8908" t="s">
        <v>65</v>
      </c>
      <c r="C8908" s="2">
        <f>HYPERLINK("https://sao.dolgi.msk.ru/account/1404187507/", 1404187507)</f>
        <v>1404187507</v>
      </c>
      <c r="D8908">
        <v>12327.95</v>
      </c>
    </row>
    <row r="8909" spans="1:4" hidden="1" x14ac:dyDescent="0.25">
      <c r="A8909" t="s">
        <v>690</v>
      </c>
      <c r="B8909" t="s">
        <v>66</v>
      </c>
      <c r="C8909" s="2">
        <f>HYPERLINK("https://sao.dolgi.msk.ru/account/1404187515/", 1404187515)</f>
        <v>1404187515</v>
      </c>
      <c r="D8909">
        <v>-3103.55</v>
      </c>
    </row>
    <row r="8910" spans="1:4" hidden="1" x14ac:dyDescent="0.25">
      <c r="A8910" t="s">
        <v>690</v>
      </c>
      <c r="B8910" t="s">
        <v>67</v>
      </c>
      <c r="C8910" s="2">
        <f>HYPERLINK("https://sao.dolgi.msk.ru/account/1404187718/", 1404187718)</f>
        <v>1404187718</v>
      </c>
      <c r="D8910">
        <v>0</v>
      </c>
    </row>
    <row r="8911" spans="1:4" hidden="1" x14ac:dyDescent="0.25">
      <c r="A8911" t="s">
        <v>690</v>
      </c>
      <c r="B8911" t="s">
        <v>68</v>
      </c>
      <c r="C8911" s="2">
        <f>HYPERLINK("https://sao.dolgi.msk.ru/account/1404188251/", 1404188251)</f>
        <v>1404188251</v>
      </c>
      <c r="D8911">
        <v>0</v>
      </c>
    </row>
    <row r="8912" spans="1:4" hidden="1" x14ac:dyDescent="0.25">
      <c r="A8912" t="s">
        <v>690</v>
      </c>
      <c r="B8912" t="s">
        <v>69</v>
      </c>
      <c r="C8912" s="2">
        <f>HYPERLINK("https://sao.dolgi.msk.ru/account/1404187291/", 1404187291)</f>
        <v>1404187291</v>
      </c>
      <c r="D8912">
        <v>0</v>
      </c>
    </row>
    <row r="8913" spans="1:4" hidden="1" x14ac:dyDescent="0.25">
      <c r="A8913" t="s">
        <v>690</v>
      </c>
      <c r="B8913" t="s">
        <v>70</v>
      </c>
      <c r="C8913" s="2">
        <f>HYPERLINK("https://sao.dolgi.msk.ru/account/1404188622/", 1404188622)</f>
        <v>1404188622</v>
      </c>
      <c r="D8913">
        <v>-6495.51</v>
      </c>
    </row>
    <row r="8914" spans="1:4" hidden="1" x14ac:dyDescent="0.25">
      <c r="A8914" t="s">
        <v>690</v>
      </c>
      <c r="B8914" t="s">
        <v>71</v>
      </c>
      <c r="C8914" s="2">
        <f>HYPERLINK("https://sao.dolgi.msk.ru/account/1404188366/", 1404188366)</f>
        <v>1404188366</v>
      </c>
      <c r="D8914">
        <v>0</v>
      </c>
    </row>
    <row r="8915" spans="1:4" hidden="1" x14ac:dyDescent="0.25">
      <c r="A8915" t="s">
        <v>690</v>
      </c>
      <c r="B8915" t="s">
        <v>72</v>
      </c>
      <c r="C8915" s="2">
        <f>HYPERLINK("https://sao.dolgi.msk.ru/account/1404188796/", 1404188796)</f>
        <v>1404188796</v>
      </c>
      <c r="D8915">
        <v>-5391.72</v>
      </c>
    </row>
    <row r="8916" spans="1:4" hidden="1" x14ac:dyDescent="0.25">
      <c r="A8916" t="s">
        <v>690</v>
      </c>
      <c r="B8916" t="s">
        <v>73</v>
      </c>
      <c r="C8916" s="2">
        <f>HYPERLINK("https://sao.dolgi.msk.ru/account/1404187435/", 1404187435)</f>
        <v>1404187435</v>
      </c>
      <c r="D8916">
        <v>-8146.44</v>
      </c>
    </row>
    <row r="8917" spans="1:4" hidden="1" x14ac:dyDescent="0.25">
      <c r="A8917" t="s">
        <v>690</v>
      </c>
      <c r="B8917" t="s">
        <v>74</v>
      </c>
      <c r="C8917" s="2">
        <f>HYPERLINK("https://sao.dolgi.msk.ru/account/1404187873/", 1404187873)</f>
        <v>1404187873</v>
      </c>
      <c r="D8917">
        <v>-6311.83</v>
      </c>
    </row>
    <row r="8918" spans="1:4" hidden="1" x14ac:dyDescent="0.25">
      <c r="A8918" t="s">
        <v>690</v>
      </c>
      <c r="B8918" t="s">
        <v>75</v>
      </c>
      <c r="C8918" s="2">
        <f>HYPERLINK("https://sao.dolgi.msk.ru/account/1404187646/", 1404187646)</f>
        <v>1404187646</v>
      </c>
      <c r="D8918">
        <v>-2936.53</v>
      </c>
    </row>
    <row r="8919" spans="1:4" hidden="1" x14ac:dyDescent="0.25">
      <c r="A8919" t="s">
        <v>690</v>
      </c>
      <c r="B8919" t="s">
        <v>76</v>
      </c>
      <c r="C8919" s="2">
        <f>HYPERLINK("https://sao.dolgi.msk.ru/account/1404187195/", 1404187195)</f>
        <v>1404187195</v>
      </c>
      <c r="D8919">
        <v>-8459.09</v>
      </c>
    </row>
    <row r="8920" spans="1:4" hidden="1" x14ac:dyDescent="0.25">
      <c r="A8920" t="s">
        <v>690</v>
      </c>
      <c r="B8920" t="s">
        <v>77</v>
      </c>
      <c r="C8920" s="2">
        <f>HYPERLINK("https://sao.dolgi.msk.ru/account/1404188171/", 1404188171)</f>
        <v>1404188171</v>
      </c>
      <c r="D8920">
        <v>0</v>
      </c>
    </row>
    <row r="8921" spans="1:4" hidden="1" x14ac:dyDescent="0.25">
      <c r="A8921" t="s">
        <v>690</v>
      </c>
      <c r="B8921" t="s">
        <v>78</v>
      </c>
      <c r="C8921" s="2">
        <f>HYPERLINK("https://sao.dolgi.msk.ru/account/1404188649/", 1404188649)</f>
        <v>1404188649</v>
      </c>
      <c r="D8921">
        <v>-8489.84</v>
      </c>
    </row>
    <row r="8922" spans="1:4" x14ac:dyDescent="0.25">
      <c r="A8922" t="s">
        <v>690</v>
      </c>
      <c r="B8922" t="s">
        <v>79</v>
      </c>
      <c r="C8922" s="2">
        <f>HYPERLINK("https://sao.dolgi.msk.ru/account/1404187443/", 1404187443)</f>
        <v>1404187443</v>
      </c>
      <c r="D8922">
        <v>426</v>
      </c>
    </row>
    <row r="8923" spans="1:4" x14ac:dyDescent="0.25">
      <c r="A8923" t="s">
        <v>690</v>
      </c>
      <c r="B8923" t="s">
        <v>80</v>
      </c>
      <c r="C8923" s="2">
        <f>HYPERLINK("https://sao.dolgi.msk.ru/account/1404188382/", 1404188382)</f>
        <v>1404188382</v>
      </c>
      <c r="D8923">
        <v>11306.08</v>
      </c>
    </row>
    <row r="8924" spans="1:4" hidden="1" x14ac:dyDescent="0.25">
      <c r="A8924" t="s">
        <v>690</v>
      </c>
      <c r="B8924" t="s">
        <v>81</v>
      </c>
      <c r="C8924" s="2">
        <f>HYPERLINK("https://sao.dolgi.msk.ru/account/1404188198/", 1404188198)</f>
        <v>1404188198</v>
      </c>
      <c r="D8924">
        <v>0</v>
      </c>
    </row>
    <row r="8925" spans="1:4" hidden="1" x14ac:dyDescent="0.25">
      <c r="A8925" t="s">
        <v>690</v>
      </c>
      <c r="B8925" t="s">
        <v>81</v>
      </c>
      <c r="C8925" s="2">
        <f>HYPERLINK("https://sao.dolgi.msk.ru/account/1404188374/", 1404188374)</f>
        <v>1404188374</v>
      </c>
      <c r="D8925">
        <v>-3122.57</v>
      </c>
    </row>
    <row r="8926" spans="1:4" hidden="1" x14ac:dyDescent="0.25">
      <c r="A8926" t="s">
        <v>690</v>
      </c>
      <c r="B8926" t="s">
        <v>81</v>
      </c>
      <c r="C8926" s="2">
        <f>HYPERLINK("https://sao.dolgi.msk.ru/account/1404188809/", 1404188809)</f>
        <v>1404188809</v>
      </c>
      <c r="D8926">
        <v>-2820.5</v>
      </c>
    </row>
    <row r="8927" spans="1:4" hidden="1" x14ac:dyDescent="0.25">
      <c r="A8927" t="s">
        <v>690</v>
      </c>
      <c r="B8927" t="s">
        <v>82</v>
      </c>
      <c r="C8927" s="2">
        <f>HYPERLINK("https://sao.dolgi.msk.ru/account/1404188403/", 1404188403)</f>
        <v>1404188403</v>
      </c>
      <c r="D8927">
        <v>-3432.63</v>
      </c>
    </row>
    <row r="8928" spans="1:4" hidden="1" x14ac:dyDescent="0.25">
      <c r="A8928" t="s">
        <v>690</v>
      </c>
      <c r="B8928" t="s">
        <v>83</v>
      </c>
      <c r="C8928" s="2">
        <f>HYPERLINK("https://sao.dolgi.msk.ru/account/1404188219/", 1404188219)</f>
        <v>1404188219</v>
      </c>
      <c r="D8928">
        <v>-6593.69</v>
      </c>
    </row>
    <row r="8929" spans="1:4" hidden="1" x14ac:dyDescent="0.25">
      <c r="A8929" t="s">
        <v>690</v>
      </c>
      <c r="B8929" t="s">
        <v>84</v>
      </c>
      <c r="C8929" s="2">
        <f>HYPERLINK("https://sao.dolgi.msk.ru/account/1404188411/", 1404188411)</f>
        <v>1404188411</v>
      </c>
      <c r="D8929">
        <v>-5445.44</v>
      </c>
    </row>
    <row r="8930" spans="1:4" hidden="1" x14ac:dyDescent="0.25">
      <c r="A8930" t="s">
        <v>690</v>
      </c>
      <c r="B8930" t="s">
        <v>85</v>
      </c>
      <c r="C8930" s="2">
        <f>HYPERLINK("https://sao.dolgi.msk.ru/account/1404187451/", 1404187451)</f>
        <v>1404187451</v>
      </c>
      <c r="D8930">
        <v>-8723.35</v>
      </c>
    </row>
    <row r="8931" spans="1:4" x14ac:dyDescent="0.25">
      <c r="A8931" t="s">
        <v>690</v>
      </c>
      <c r="B8931" t="s">
        <v>86</v>
      </c>
      <c r="C8931" s="2">
        <f>HYPERLINK("https://sao.dolgi.msk.ru/account/1404188438/", 1404188438)</f>
        <v>1404188438</v>
      </c>
      <c r="D8931">
        <v>15382.9</v>
      </c>
    </row>
    <row r="8932" spans="1:4" hidden="1" x14ac:dyDescent="0.25">
      <c r="A8932" t="s">
        <v>690</v>
      </c>
      <c r="B8932" t="s">
        <v>87</v>
      </c>
      <c r="C8932" s="2">
        <f>HYPERLINK("https://sao.dolgi.msk.ru/account/1404187216/", 1404187216)</f>
        <v>1404187216</v>
      </c>
      <c r="D8932">
        <v>-4049.75</v>
      </c>
    </row>
    <row r="8933" spans="1:4" hidden="1" x14ac:dyDescent="0.25">
      <c r="A8933" t="s">
        <v>690</v>
      </c>
      <c r="B8933" t="s">
        <v>88</v>
      </c>
      <c r="C8933" s="2">
        <f>HYPERLINK("https://sao.dolgi.msk.ru/account/1404187224/", 1404187224)</f>
        <v>1404187224</v>
      </c>
      <c r="D8933">
        <v>-8376.7900000000009</v>
      </c>
    </row>
    <row r="8934" spans="1:4" hidden="1" x14ac:dyDescent="0.25">
      <c r="A8934" t="s">
        <v>690</v>
      </c>
      <c r="B8934" t="s">
        <v>89</v>
      </c>
      <c r="C8934" s="2">
        <f>HYPERLINK("https://sao.dolgi.msk.ru/account/1404187654/", 1404187654)</f>
        <v>1404187654</v>
      </c>
      <c r="D8934">
        <v>0</v>
      </c>
    </row>
    <row r="8935" spans="1:4" hidden="1" x14ac:dyDescent="0.25">
      <c r="A8935" t="s">
        <v>690</v>
      </c>
      <c r="B8935" t="s">
        <v>90</v>
      </c>
      <c r="C8935" s="2">
        <f>HYPERLINK("https://sao.dolgi.msk.ru/account/1404187232/", 1404187232)</f>
        <v>1404187232</v>
      </c>
      <c r="D8935">
        <v>-3551.89</v>
      </c>
    </row>
    <row r="8936" spans="1:4" x14ac:dyDescent="0.25">
      <c r="A8936" t="s">
        <v>690</v>
      </c>
      <c r="B8936" t="s">
        <v>91</v>
      </c>
      <c r="C8936" s="2">
        <f>HYPERLINK("https://sao.dolgi.msk.ru/account/1404188227/", 1404188227)</f>
        <v>1404188227</v>
      </c>
      <c r="D8936">
        <v>20626.12</v>
      </c>
    </row>
    <row r="8937" spans="1:4" hidden="1" x14ac:dyDescent="0.25">
      <c r="A8937" t="s">
        <v>690</v>
      </c>
      <c r="B8937" t="s">
        <v>92</v>
      </c>
      <c r="C8937" s="2">
        <f>HYPERLINK("https://sao.dolgi.msk.ru/account/1404188163/", 1404188163)</f>
        <v>1404188163</v>
      </c>
      <c r="D8937">
        <v>-3976.71</v>
      </c>
    </row>
    <row r="8938" spans="1:4" hidden="1" x14ac:dyDescent="0.25">
      <c r="A8938" t="s">
        <v>690</v>
      </c>
      <c r="B8938" t="s">
        <v>93</v>
      </c>
      <c r="C8938" s="2">
        <f>HYPERLINK("https://sao.dolgi.msk.ru/account/1404187849/", 1404187849)</f>
        <v>1404187849</v>
      </c>
      <c r="D8938">
        <v>0</v>
      </c>
    </row>
    <row r="8939" spans="1:4" hidden="1" x14ac:dyDescent="0.25">
      <c r="A8939" t="s">
        <v>690</v>
      </c>
      <c r="B8939" t="s">
        <v>94</v>
      </c>
      <c r="C8939" s="2">
        <f>HYPERLINK("https://sao.dolgi.msk.ru/account/1404187419/", 1404187419)</f>
        <v>1404187419</v>
      </c>
      <c r="D8939">
        <v>-6739.66</v>
      </c>
    </row>
    <row r="8940" spans="1:4" hidden="1" x14ac:dyDescent="0.25">
      <c r="A8940" t="s">
        <v>690</v>
      </c>
      <c r="B8940" t="s">
        <v>95</v>
      </c>
      <c r="C8940" s="2">
        <f>HYPERLINK("https://sao.dolgi.msk.ru/account/1404187857/", 1404187857)</f>
        <v>1404187857</v>
      </c>
      <c r="D8940">
        <v>0</v>
      </c>
    </row>
    <row r="8941" spans="1:4" x14ac:dyDescent="0.25">
      <c r="A8941" t="s">
        <v>690</v>
      </c>
      <c r="B8941" t="s">
        <v>96</v>
      </c>
      <c r="C8941" s="2">
        <f>HYPERLINK("https://sao.dolgi.msk.ru/account/1404187988/", 1404187988)</f>
        <v>1404187988</v>
      </c>
      <c r="D8941">
        <v>5270.46</v>
      </c>
    </row>
    <row r="8942" spans="1:4" x14ac:dyDescent="0.25">
      <c r="A8942" t="s">
        <v>690</v>
      </c>
      <c r="B8942" t="s">
        <v>97</v>
      </c>
      <c r="C8942" s="2">
        <f>HYPERLINK("https://sao.dolgi.msk.ru/account/1404188331/", 1404188331)</f>
        <v>1404188331</v>
      </c>
      <c r="D8942">
        <v>10815.2</v>
      </c>
    </row>
    <row r="8943" spans="1:4" hidden="1" x14ac:dyDescent="0.25">
      <c r="A8943" t="s">
        <v>690</v>
      </c>
      <c r="B8943" t="s">
        <v>98</v>
      </c>
      <c r="C8943" s="2">
        <f>HYPERLINK("https://sao.dolgi.msk.ru/account/1404188761/", 1404188761)</f>
        <v>1404188761</v>
      </c>
      <c r="D8943">
        <v>-6554.61</v>
      </c>
    </row>
    <row r="8944" spans="1:4" hidden="1" x14ac:dyDescent="0.25">
      <c r="A8944" t="s">
        <v>690</v>
      </c>
      <c r="B8944" t="s">
        <v>99</v>
      </c>
      <c r="C8944" s="2">
        <f>HYPERLINK("https://sao.dolgi.msk.ru/account/1404188358/", 1404188358)</f>
        <v>1404188358</v>
      </c>
      <c r="D8944">
        <v>-3306</v>
      </c>
    </row>
    <row r="8945" spans="1:4" hidden="1" x14ac:dyDescent="0.25">
      <c r="A8945" t="s">
        <v>690</v>
      </c>
      <c r="B8945" t="s">
        <v>100</v>
      </c>
      <c r="C8945" s="2">
        <f>HYPERLINK("https://sao.dolgi.msk.ru/account/1404188788/", 1404188788)</f>
        <v>1404188788</v>
      </c>
      <c r="D8945">
        <v>-6755.75</v>
      </c>
    </row>
    <row r="8946" spans="1:4" hidden="1" x14ac:dyDescent="0.25">
      <c r="A8946" t="s">
        <v>690</v>
      </c>
      <c r="B8946" t="s">
        <v>101</v>
      </c>
      <c r="C8946" s="2">
        <f>HYPERLINK("https://sao.dolgi.msk.ru/account/1404187427/", 1404187427)</f>
        <v>1404187427</v>
      </c>
      <c r="D8946">
        <v>0</v>
      </c>
    </row>
    <row r="8947" spans="1:4" hidden="1" x14ac:dyDescent="0.25">
      <c r="A8947" t="s">
        <v>690</v>
      </c>
      <c r="B8947" t="s">
        <v>101</v>
      </c>
      <c r="C8947" s="2">
        <f>HYPERLINK("https://sao.dolgi.msk.ru/account/1404188745/", 1404188745)</f>
        <v>1404188745</v>
      </c>
      <c r="D8947">
        <v>0</v>
      </c>
    </row>
    <row r="8948" spans="1:4" hidden="1" x14ac:dyDescent="0.25">
      <c r="A8948" t="s">
        <v>690</v>
      </c>
      <c r="B8948" t="s">
        <v>102</v>
      </c>
      <c r="C8948" s="2">
        <f>HYPERLINK("https://sao.dolgi.msk.ru/account/1404187865/", 1404187865)</f>
        <v>1404187865</v>
      </c>
      <c r="D8948">
        <v>0</v>
      </c>
    </row>
    <row r="8949" spans="1:4" x14ac:dyDescent="0.25">
      <c r="A8949" t="s">
        <v>690</v>
      </c>
      <c r="B8949" t="s">
        <v>103</v>
      </c>
      <c r="C8949" s="2">
        <f>HYPERLINK("https://sao.dolgi.msk.ru/account/1404187996/", 1404187996)</f>
        <v>1404187996</v>
      </c>
      <c r="D8949">
        <v>32941.22</v>
      </c>
    </row>
    <row r="8950" spans="1:4" hidden="1" x14ac:dyDescent="0.25">
      <c r="A8950" t="s">
        <v>690</v>
      </c>
      <c r="B8950" t="s">
        <v>104</v>
      </c>
      <c r="C8950" s="2">
        <f>HYPERLINK("https://sao.dolgi.msk.ru/account/1404187961/", 1404187961)</f>
        <v>1404187961</v>
      </c>
      <c r="D8950">
        <v>-6171.49</v>
      </c>
    </row>
    <row r="8951" spans="1:4" x14ac:dyDescent="0.25">
      <c r="A8951" t="s">
        <v>690</v>
      </c>
      <c r="B8951" t="s">
        <v>105</v>
      </c>
      <c r="C8951" s="2">
        <f>HYPERLINK("https://sao.dolgi.msk.ru/account/1404187785/", 1404187785)</f>
        <v>1404187785</v>
      </c>
      <c r="D8951">
        <v>68971.83</v>
      </c>
    </row>
    <row r="8952" spans="1:4" x14ac:dyDescent="0.25">
      <c r="A8952" t="s">
        <v>690</v>
      </c>
      <c r="B8952" t="s">
        <v>106</v>
      </c>
      <c r="C8952" s="2">
        <f>HYPERLINK("https://sao.dolgi.msk.ru/account/1404187339/", 1404187339)</f>
        <v>1404187339</v>
      </c>
      <c r="D8952">
        <v>8706.18</v>
      </c>
    </row>
    <row r="8953" spans="1:4" hidden="1" x14ac:dyDescent="0.25">
      <c r="A8953" t="s">
        <v>690</v>
      </c>
      <c r="B8953" t="s">
        <v>107</v>
      </c>
      <c r="C8953" s="2">
        <f>HYPERLINK("https://sao.dolgi.msk.ru/account/1404187347/", 1404187347)</f>
        <v>1404187347</v>
      </c>
      <c r="D8953">
        <v>0</v>
      </c>
    </row>
    <row r="8954" spans="1:4" hidden="1" x14ac:dyDescent="0.25">
      <c r="A8954" t="s">
        <v>690</v>
      </c>
      <c r="B8954" t="s">
        <v>108</v>
      </c>
      <c r="C8954" s="2">
        <f>HYPERLINK("https://sao.dolgi.msk.ru/account/1404187945/", 1404187945)</f>
        <v>1404187945</v>
      </c>
      <c r="D8954">
        <v>-5404.01</v>
      </c>
    </row>
    <row r="8955" spans="1:4" hidden="1" x14ac:dyDescent="0.25">
      <c r="A8955" t="s">
        <v>690</v>
      </c>
      <c r="B8955" t="s">
        <v>109</v>
      </c>
      <c r="C8955" s="2">
        <f>HYPERLINK("https://sao.dolgi.msk.ru/account/1404187953/", 1404187953)</f>
        <v>1404187953</v>
      </c>
      <c r="D8955">
        <v>-8256.3799999999992</v>
      </c>
    </row>
    <row r="8956" spans="1:4" hidden="1" x14ac:dyDescent="0.25">
      <c r="A8956" t="s">
        <v>690</v>
      </c>
      <c r="B8956" t="s">
        <v>110</v>
      </c>
      <c r="C8956" s="2">
        <f>HYPERLINK("https://sao.dolgi.msk.ru/account/1404188067/", 1404188067)</f>
        <v>1404188067</v>
      </c>
      <c r="D8956">
        <v>0</v>
      </c>
    </row>
    <row r="8957" spans="1:4" hidden="1" x14ac:dyDescent="0.25">
      <c r="A8957" t="s">
        <v>690</v>
      </c>
      <c r="B8957" t="s">
        <v>111</v>
      </c>
      <c r="C8957" s="2">
        <f>HYPERLINK("https://sao.dolgi.msk.ru/account/1404188593/", 1404188593)</f>
        <v>1404188593</v>
      </c>
      <c r="D8957">
        <v>-4696.55</v>
      </c>
    </row>
    <row r="8958" spans="1:4" hidden="1" x14ac:dyDescent="0.25">
      <c r="A8958" t="s">
        <v>690</v>
      </c>
      <c r="B8958" t="s">
        <v>112</v>
      </c>
      <c r="C8958" s="2">
        <f>HYPERLINK("https://sao.dolgi.msk.ru/account/1404188075/", 1404188075)</f>
        <v>1404188075</v>
      </c>
      <c r="D8958">
        <v>-4081.43</v>
      </c>
    </row>
    <row r="8959" spans="1:4" hidden="1" x14ac:dyDescent="0.25">
      <c r="A8959" t="s">
        <v>690</v>
      </c>
      <c r="B8959" t="s">
        <v>113</v>
      </c>
      <c r="C8959" s="2">
        <f>HYPERLINK("https://sao.dolgi.msk.ru/account/1404188083/", 1404188083)</f>
        <v>1404188083</v>
      </c>
      <c r="D8959">
        <v>-4280.8100000000004</v>
      </c>
    </row>
    <row r="8960" spans="1:4" hidden="1" x14ac:dyDescent="0.25">
      <c r="A8960" t="s">
        <v>690</v>
      </c>
      <c r="B8960" t="s">
        <v>114</v>
      </c>
      <c r="C8960" s="2">
        <f>HYPERLINK("https://sao.dolgi.msk.ru/account/1404187793/", 1404187793)</f>
        <v>1404187793</v>
      </c>
      <c r="D8960">
        <v>-3924.16</v>
      </c>
    </row>
    <row r="8961" spans="1:4" x14ac:dyDescent="0.25">
      <c r="A8961" t="s">
        <v>690</v>
      </c>
      <c r="B8961" t="s">
        <v>115</v>
      </c>
      <c r="C8961" s="2">
        <f>HYPERLINK("https://sao.dolgi.msk.ru/account/1404187603/", 1404187603)</f>
        <v>1404187603</v>
      </c>
      <c r="D8961">
        <v>32297.05</v>
      </c>
    </row>
    <row r="8962" spans="1:4" hidden="1" x14ac:dyDescent="0.25">
      <c r="A8962" t="s">
        <v>690</v>
      </c>
      <c r="B8962" t="s">
        <v>116</v>
      </c>
      <c r="C8962" s="2">
        <f>HYPERLINK("https://sao.dolgi.msk.ru/account/1404188091/", 1404188091)</f>
        <v>1404188091</v>
      </c>
      <c r="D8962">
        <v>-7518.45</v>
      </c>
    </row>
    <row r="8963" spans="1:4" hidden="1" x14ac:dyDescent="0.25">
      <c r="A8963" t="s">
        <v>690</v>
      </c>
      <c r="B8963" t="s">
        <v>117</v>
      </c>
      <c r="C8963" s="2">
        <f>HYPERLINK("https://sao.dolgi.msk.ru/account/1404188737/", 1404188737)</f>
        <v>1404188737</v>
      </c>
      <c r="D8963">
        <v>0</v>
      </c>
    </row>
    <row r="8964" spans="1:4" hidden="1" x14ac:dyDescent="0.25">
      <c r="A8964" t="s">
        <v>690</v>
      </c>
      <c r="B8964" t="s">
        <v>118</v>
      </c>
      <c r="C8964" s="2">
        <f>HYPERLINK("https://sao.dolgi.msk.ru/account/1404187611/", 1404187611)</f>
        <v>1404187611</v>
      </c>
      <c r="D8964">
        <v>0</v>
      </c>
    </row>
    <row r="8965" spans="1:4" hidden="1" x14ac:dyDescent="0.25">
      <c r="A8965" t="s">
        <v>690</v>
      </c>
      <c r="B8965" t="s">
        <v>119</v>
      </c>
      <c r="C8965" s="2">
        <f>HYPERLINK("https://sao.dolgi.msk.ru/account/1404187769/", 1404187769)</f>
        <v>1404187769</v>
      </c>
      <c r="D8965">
        <v>-6310.48</v>
      </c>
    </row>
    <row r="8966" spans="1:4" hidden="1" x14ac:dyDescent="0.25">
      <c r="A8966" t="s">
        <v>690</v>
      </c>
      <c r="B8966" t="s">
        <v>120</v>
      </c>
      <c r="C8966" s="2">
        <f>HYPERLINK("https://sao.dolgi.msk.ru/account/1404188729/", 1404188729)</f>
        <v>1404188729</v>
      </c>
      <c r="D8966">
        <v>-7744.14</v>
      </c>
    </row>
    <row r="8967" spans="1:4" hidden="1" x14ac:dyDescent="0.25">
      <c r="A8967" t="s">
        <v>690</v>
      </c>
      <c r="B8967" t="s">
        <v>121</v>
      </c>
      <c r="C8967" s="2">
        <f>HYPERLINK("https://sao.dolgi.msk.ru/account/1404187777/", 1404187777)</f>
        <v>1404187777</v>
      </c>
      <c r="D8967">
        <v>-9534.9599999999991</v>
      </c>
    </row>
    <row r="8968" spans="1:4" hidden="1" x14ac:dyDescent="0.25">
      <c r="A8968" t="s">
        <v>690</v>
      </c>
      <c r="B8968" t="s">
        <v>122</v>
      </c>
      <c r="C8968" s="2">
        <f>HYPERLINK("https://sao.dolgi.msk.ru/account/1404188542/", 1404188542)</f>
        <v>1404188542</v>
      </c>
      <c r="D8968">
        <v>0</v>
      </c>
    </row>
    <row r="8969" spans="1:4" hidden="1" x14ac:dyDescent="0.25">
      <c r="A8969" t="s">
        <v>690</v>
      </c>
      <c r="B8969" t="s">
        <v>123</v>
      </c>
      <c r="C8969" s="2">
        <f>HYPERLINK("https://sao.dolgi.msk.ru/account/1404187523/", 1404187523)</f>
        <v>1404187523</v>
      </c>
      <c r="D8969">
        <v>-5045.92</v>
      </c>
    </row>
    <row r="8970" spans="1:4" hidden="1" x14ac:dyDescent="0.25">
      <c r="A8970" t="s">
        <v>690</v>
      </c>
      <c r="B8970" t="s">
        <v>124</v>
      </c>
      <c r="C8970" s="2">
        <f>HYPERLINK("https://sao.dolgi.msk.ru/account/1404188569/", 1404188569)</f>
        <v>1404188569</v>
      </c>
      <c r="D8970">
        <v>0</v>
      </c>
    </row>
    <row r="8971" spans="1:4" hidden="1" x14ac:dyDescent="0.25">
      <c r="A8971" t="s">
        <v>690</v>
      </c>
      <c r="B8971" t="s">
        <v>124</v>
      </c>
      <c r="C8971" s="2">
        <f>HYPERLINK("https://sao.dolgi.msk.ru/account/1404294118/", 1404294118)</f>
        <v>1404294118</v>
      </c>
      <c r="D8971">
        <v>0</v>
      </c>
    </row>
    <row r="8972" spans="1:4" hidden="1" x14ac:dyDescent="0.25">
      <c r="A8972" t="s">
        <v>690</v>
      </c>
      <c r="B8972" t="s">
        <v>125</v>
      </c>
      <c r="C8972" s="2">
        <f>HYPERLINK("https://sao.dolgi.msk.ru/account/1404188278/", 1404188278)</f>
        <v>1404188278</v>
      </c>
      <c r="D8972">
        <v>0</v>
      </c>
    </row>
    <row r="8973" spans="1:4" hidden="1" x14ac:dyDescent="0.25">
      <c r="A8973" t="s">
        <v>690</v>
      </c>
      <c r="B8973" t="s">
        <v>126</v>
      </c>
      <c r="C8973" s="2">
        <f>HYPERLINK("https://sao.dolgi.msk.ru/account/1404187574/", 1404187574)</f>
        <v>1404187574</v>
      </c>
      <c r="D8973">
        <v>-6008.29</v>
      </c>
    </row>
    <row r="8974" spans="1:4" x14ac:dyDescent="0.25">
      <c r="A8974" t="s">
        <v>690</v>
      </c>
      <c r="B8974" t="s">
        <v>127</v>
      </c>
      <c r="C8974" s="2">
        <f>HYPERLINK("https://sao.dolgi.msk.ru/account/1404188024/", 1404188024)</f>
        <v>1404188024</v>
      </c>
      <c r="D8974">
        <v>4004.16</v>
      </c>
    </row>
    <row r="8975" spans="1:4" hidden="1" x14ac:dyDescent="0.25">
      <c r="A8975" t="s">
        <v>690</v>
      </c>
      <c r="B8975" t="s">
        <v>128</v>
      </c>
      <c r="C8975" s="2">
        <f>HYPERLINK("https://sao.dolgi.msk.ru/account/1404188032/", 1404188032)</f>
        <v>1404188032</v>
      </c>
      <c r="D8975">
        <v>-8078.73</v>
      </c>
    </row>
    <row r="8976" spans="1:4" hidden="1" x14ac:dyDescent="0.25">
      <c r="A8976" t="s">
        <v>690</v>
      </c>
      <c r="B8976" t="s">
        <v>129</v>
      </c>
      <c r="C8976" s="2">
        <f>HYPERLINK("https://sao.dolgi.msk.ru/account/1404188702/", 1404188702)</f>
        <v>1404188702</v>
      </c>
      <c r="D8976">
        <v>-6777.99</v>
      </c>
    </row>
    <row r="8977" spans="1:4" hidden="1" x14ac:dyDescent="0.25">
      <c r="A8977" t="s">
        <v>690</v>
      </c>
      <c r="B8977" t="s">
        <v>130</v>
      </c>
      <c r="C8977" s="2">
        <f>HYPERLINK("https://sao.dolgi.msk.ru/account/1404187304/", 1404187304)</f>
        <v>1404187304</v>
      </c>
      <c r="D8977">
        <v>-3143.15</v>
      </c>
    </row>
    <row r="8978" spans="1:4" hidden="1" x14ac:dyDescent="0.25">
      <c r="A8978" t="s">
        <v>690</v>
      </c>
      <c r="B8978" t="s">
        <v>131</v>
      </c>
      <c r="C8978" s="2">
        <f>HYPERLINK("https://sao.dolgi.msk.ru/account/1404187726/", 1404187726)</f>
        <v>1404187726</v>
      </c>
      <c r="D8978">
        <v>-5366.66</v>
      </c>
    </row>
    <row r="8979" spans="1:4" x14ac:dyDescent="0.25">
      <c r="A8979" t="s">
        <v>690</v>
      </c>
      <c r="B8979" t="s">
        <v>132</v>
      </c>
      <c r="C8979" s="2">
        <f>HYPERLINK("https://sao.dolgi.msk.ru/account/1404187929/", 1404187929)</f>
        <v>1404187929</v>
      </c>
      <c r="D8979">
        <v>15382.49</v>
      </c>
    </row>
    <row r="8980" spans="1:4" hidden="1" x14ac:dyDescent="0.25">
      <c r="A8980" t="s">
        <v>691</v>
      </c>
      <c r="B8980" t="s">
        <v>5</v>
      </c>
      <c r="C8980" s="2">
        <f>HYPERLINK("https://sao.dolgi.msk.ru/account/1404189211/", 1404189211)</f>
        <v>1404189211</v>
      </c>
      <c r="D8980">
        <v>-8260.75</v>
      </c>
    </row>
    <row r="8981" spans="1:4" x14ac:dyDescent="0.25">
      <c r="A8981" t="s">
        <v>691</v>
      </c>
      <c r="B8981" t="s">
        <v>6</v>
      </c>
      <c r="C8981" s="2">
        <f>HYPERLINK("https://sao.dolgi.msk.ru/account/1404189369/", 1404189369)</f>
        <v>1404189369</v>
      </c>
      <c r="D8981">
        <v>6259.68</v>
      </c>
    </row>
    <row r="8982" spans="1:4" x14ac:dyDescent="0.25">
      <c r="A8982" t="s">
        <v>691</v>
      </c>
      <c r="B8982" t="s">
        <v>7</v>
      </c>
      <c r="C8982" s="2">
        <f>HYPERLINK("https://sao.dolgi.msk.ru/account/1404189043/", 1404189043)</f>
        <v>1404189043</v>
      </c>
      <c r="D8982">
        <v>10570.41</v>
      </c>
    </row>
    <row r="8983" spans="1:4" x14ac:dyDescent="0.25">
      <c r="A8983" t="s">
        <v>691</v>
      </c>
      <c r="B8983" t="s">
        <v>8</v>
      </c>
      <c r="C8983" s="2">
        <f>HYPERLINK("https://sao.dolgi.msk.ru/account/1404189115/", 1404189115)</f>
        <v>1404189115</v>
      </c>
      <c r="D8983">
        <v>9594.25</v>
      </c>
    </row>
    <row r="8984" spans="1:4" hidden="1" x14ac:dyDescent="0.25">
      <c r="A8984" t="s">
        <v>691</v>
      </c>
      <c r="B8984" t="s">
        <v>9</v>
      </c>
      <c r="C8984" s="2">
        <f>HYPERLINK("https://sao.dolgi.msk.ru/account/1404190132/", 1404190132)</f>
        <v>1404190132</v>
      </c>
      <c r="D8984">
        <v>-5315.16</v>
      </c>
    </row>
    <row r="8985" spans="1:4" hidden="1" x14ac:dyDescent="0.25">
      <c r="A8985" t="s">
        <v>691</v>
      </c>
      <c r="B8985" t="s">
        <v>10</v>
      </c>
      <c r="C8985" s="2">
        <f>HYPERLINK("https://sao.dolgi.msk.ru/account/1404190298/", 1404190298)</f>
        <v>1404190298</v>
      </c>
      <c r="D8985">
        <v>0</v>
      </c>
    </row>
    <row r="8986" spans="1:4" hidden="1" x14ac:dyDescent="0.25">
      <c r="A8986" t="s">
        <v>691</v>
      </c>
      <c r="B8986" t="s">
        <v>11</v>
      </c>
      <c r="C8986" s="2">
        <f>HYPERLINK("https://sao.dolgi.msk.ru/account/1404189975/", 1404189975)</f>
        <v>1404189975</v>
      </c>
      <c r="D8986">
        <v>0</v>
      </c>
    </row>
    <row r="8987" spans="1:4" hidden="1" x14ac:dyDescent="0.25">
      <c r="A8987" t="s">
        <v>691</v>
      </c>
      <c r="B8987" t="s">
        <v>12</v>
      </c>
      <c r="C8987" s="2">
        <f>HYPERLINK("https://sao.dolgi.msk.ru/account/1404189027/", 1404189027)</f>
        <v>1404189027</v>
      </c>
      <c r="D8987">
        <v>-6859.6</v>
      </c>
    </row>
    <row r="8988" spans="1:4" hidden="1" x14ac:dyDescent="0.25">
      <c r="A8988" t="s">
        <v>691</v>
      </c>
      <c r="B8988" t="s">
        <v>13</v>
      </c>
      <c r="C8988" s="2">
        <f>HYPERLINK("https://sao.dolgi.msk.ru/account/1404190108/", 1404190108)</f>
        <v>1404190108</v>
      </c>
      <c r="D8988">
        <v>0</v>
      </c>
    </row>
    <row r="8989" spans="1:4" hidden="1" x14ac:dyDescent="0.25">
      <c r="A8989" t="s">
        <v>691</v>
      </c>
      <c r="B8989" t="s">
        <v>14</v>
      </c>
      <c r="C8989" s="2">
        <f>HYPERLINK("https://sao.dolgi.msk.ru/account/1404189991/", 1404189991)</f>
        <v>1404189991</v>
      </c>
      <c r="D8989">
        <v>-4694.97</v>
      </c>
    </row>
    <row r="8990" spans="1:4" x14ac:dyDescent="0.25">
      <c r="A8990" t="s">
        <v>691</v>
      </c>
      <c r="B8990" t="s">
        <v>15</v>
      </c>
      <c r="C8990" s="2">
        <f>HYPERLINK("https://sao.dolgi.msk.ru/account/1404189764/", 1404189764)</f>
        <v>1404189764</v>
      </c>
      <c r="D8990">
        <v>650.63</v>
      </c>
    </row>
    <row r="8991" spans="1:4" x14ac:dyDescent="0.25">
      <c r="A8991" t="s">
        <v>691</v>
      </c>
      <c r="B8991" t="s">
        <v>16</v>
      </c>
      <c r="C8991" s="2">
        <f>HYPERLINK("https://sao.dolgi.msk.ru/account/1404189801/", 1404189801)</f>
        <v>1404189801</v>
      </c>
      <c r="D8991">
        <v>47800.79</v>
      </c>
    </row>
    <row r="8992" spans="1:4" hidden="1" x14ac:dyDescent="0.25">
      <c r="A8992" t="s">
        <v>691</v>
      </c>
      <c r="B8992" t="s">
        <v>17</v>
      </c>
      <c r="C8992" s="2">
        <f>HYPERLINK("https://sao.dolgi.msk.ru/account/1404189238/", 1404189238)</f>
        <v>1404189238</v>
      </c>
      <c r="D8992">
        <v>0</v>
      </c>
    </row>
    <row r="8993" spans="1:4" hidden="1" x14ac:dyDescent="0.25">
      <c r="A8993" t="s">
        <v>691</v>
      </c>
      <c r="B8993" t="s">
        <v>18</v>
      </c>
      <c r="C8993" s="2">
        <f>HYPERLINK("https://sao.dolgi.msk.ru/account/1404190028/", 1404190028)</f>
        <v>1404190028</v>
      </c>
      <c r="D8993">
        <v>-4817.4399999999996</v>
      </c>
    </row>
    <row r="8994" spans="1:4" hidden="1" x14ac:dyDescent="0.25">
      <c r="A8994" t="s">
        <v>691</v>
      </c>
      <c r="B8994" t="s">
        <v>19</v>
      </c>
      <c r="C8994" s="2">
        <f>HYPERLINK("https://sao.dolgi.msk.ru/account/1404189676/", 1404189676)</f>
        <v>1404189676</v>
      </c>
      <c r="D8994">
        <v>-6470.04</v>
      </c>
    </row>
    <row r="8995" spans="1:4" hidden="1" x14ac:dyDescent="0.25">
      <c r="A8995" t="s">
        <v>691</v>
      </c>
      <c r="B8995" t="s">
        <v>20</v>
      </c>
      <c r="C8995" s="2">
        <f>HYPERLINK("https://sao.dolgi.msk.ru/account/1404188999/", 1404188999)</f>
        <v>1404188999</v>
      </c>
      <c r="D8995">
        <v>-7652.1</v>
      </c>
    </row>
    <row r="8996" spans="1:4" hidden="1" x14ac:dyDescent="0.25">
      <c r="A8996" t="s">
        <v>691</v>
      </c>
      <c r="B8996" t="s">
        <v>21</v>
      </c>
      <c r="C8996" s="2">
        <f>HYPERLINK("https://sao.dolgi.msk.ru/account/1404189983/", 1404189983)</f>
        <v>1404189983</v>
      </c>
      <c r="D8996">
        <v>-6860.25</v>
      </c>
    </row>
    <row r="8997" spans="1:4" hidden="1" x14ac:dyDescent="0.25">
      <c r="A8997" t="s">
        <v>691</v>
      </c>
      <c r="B8997" t="s">
        <v>22</v>
      </c>
      <c r="C8997" s="2">
        <f>HYPERLINK("https://sao.dolgi.msk.ru/account/1404189457/", 1404189457)</f>
        <v>1404189457</v>
      </c>
      <c r="D8997">
        <v>-7091.02</v>
      </c>
    </row>
    <row r="8998" spans="1:4" hidden="1" x14ac:dyDescent="0.25">
      <c r="A8998" t="s">
        <v>691</v>
      </c>
      <c r="B8998" t="s">
        <v>23</v>
      </c>
      <c r="C8998" s="2">
        <f>HYPERLINK("https://sao.dolgi.msk.ru/account/1404190175/", 1404190175)</f>
        <v>1404190175</v>
      </c>
      <c r="D8998">
        <v>0</v>
      </c>
    </row>
    <row r="8999" spans="1:4" hidden="1" x14ac:dyDescent="0.25">
      <c r="A8999" t="s">
        <v>691</v>
      </c>
      <c r="B8999" t="s">
        <v>24</v>
      </c>
      <c r="C8999" s="2">
        <f>HYPERLINK("https://sao.dolgi.msk.ru/account/1404189123/", 1404189123)</f>
        <v>1404189123</v>
      </c>
      <c r="D8999">
        <v>-6118.05</v>
      </c>
    </row>
    <row r="9000" spans="1:4" hidden="1" x14ac:dyDescent="0.25">
      <c r="A9000" t="s">
        <v>691</v>
      </c>
      <c r="B9000" t="s">
        <v>25</v>
      </c>
      <c r="C9000" s="2">
        <f>HYPERLINK("https://sao.dolgi.msk.ru/account/1404189916/", 1404189916)</f>
        <v>1404189916</v>
      </c>
      <c r="D9000">
        <v>0</v>
      </c>
    </row>
    <row r="9001" spans="1:4" hidden="1" x14ac:dyDescent="0.25">
      <c r="A9001" t="s">
        <v>691</v>
      </c>
      <c r="B9001" t="s">
        <v>26</v>
      </c>
      <c r="C9001" s="2">
        <f>HYPERLINK("https://sao.dolgi.msk.ru/account/1404189924/", 1404189924)</f>
        <v>1404189924</v>
      </c>
      <c r="D9001">
        <v>0</v>
      </c>
    </row>
    <row r="9002" spans="1:4" hidden="1" x14ac:dyDescent="0.25">
      <c r="A9002" t="s">
        <v>691</v>
      </c>
      <c r="B9002" t="s">
        <v>27</v>
      </c>
      <c r="C9002" s="2">
        <f>HYPERLINK("https://sao.dolgi.msk.ru/account/1404190183/", 1404190183)</f>
        <v>1404190183</v>
      </c>
      <c r="D9002">
        <v>-13814.49</v>
      </c>
    </row>
    <row r="9003" spans="1:4" hidden="1" x14ac:dyDescent="0.25">
      <c r="A9003" t="s">
        <v>691</v>
      </c>
      <c r="B9003" t="s">
        <v>28</v>
      </c>
      <c r="C9003" s="2">
        <f>HYPERLINK("https://sao.dolgi.msk.ru/account/1404189035/", 1404189035)</f>
        <v>1404189035</v>
      </c>
      <c r="D9003">
        <v>0</v>
      </c>
    </row>
    <row r="9004" spans="1:4" hidden="1" x14ac:dyDescent="0.25">
      <c r="A9004" t="s">
        <v>691</v>
      </c>
      <c r="B9004" t="s">
        <v>28</v>
      </c>
      <c r="C9004" s="2">
        <f>HYPERLINK("https://sao.dolgi.msk.ru/account/1404189625/", 1404189625)</f>
        <v>1404189625</v>
      </c>
      <c r="D9004">
        <v>0</v>
      </c>
    </row>
    <row r="9005" spans="1:4" hidden="1" x14ac:dyDescent="0.25">
      <c r="A9005" t="s">
        <v>691</v>
      </c>
      <c r="B9005" t="s">
        <v>29</v>
      </c>
      <c r="C9005" s="2">
        <f>HYPERLINK("https://sao.dolgi.msk.ru/account/1404190423/", 1404190423)</f>
        <v>1404190423</v>
      </c>
      <c r="D9005">
        <v>-4678.46</v>
      </c>
    </row>
    <row r="9006" spans="1:4" hidden="1" x14ac:dyDescent="0.25">
      <c r="A9006" t="s">
        <v>691</v>
      </c>
      <c r="B9006" t="s">
        <v>30</v>
      </c>
      <c r="C9006" s="2">
        <f>HYPERLINK("https://sao.dolgi.msk.ru/account/1404189852/", 1404189852)</f>
        <v>1404189852</v>
      </c>
      <c r="D9006">
        <v>-7573.54</v>
      </c>
    </row>
    <row r="9007" spans="1:4" hidden="1" x14ac:dyDescent="0.25">
      <c r="A9007" t="s">
        <v>691</v>
      </c>
      <c r="B9007" t="s">
        <v>31</v>
      </c>
      <c r="C9007" s="2">
        <f>HYPERLINK("https://sao.dolgi.msk.ru/account/1404190431/", 1404190431)</f>
        <v>1404190431</v>
      </c>
      <c r="D9007">
        <v>-6254.6</v>
      </c>
    </row>
    <row r="9008" spans="1:4" hidden="1" x14ac:dyDescent="0.25">
      <c r="A9008" t="s">
        <v>691</v>
      </c>
      <c r="B9008" t="s">
        <v>32</v>
      </c>
      <c r="C9008" s="2">
        <f>HYPERLINK("https://sao.dolgi.msk.ru/account/1404190036/", 1404190036)</f>
        <v>1404190036</v>
      </c>
      <c r="D9008">
        <v>-7287.74</v>
      </c>
    </row>
    <row r="9009" spans="1:4" x14ac:dyDescent="0.25">
      <c r="A9009" t="s">
        <v>691</v>
      </c>
      <c r="B9009" t="s">
        <v>33</v>
      </c>
      <c r="C9009" s="2">
        <f>HYPERLINK("https://sao.dolgi.msk.ru/account/1404189473/", 1404189473)</f>
        <v>1404189473</v>
      </c>
      <c r="D9009">
        <v>13577.6</v>
      </c>
    </row>
    <row r="9010" spans="1:4" hidden="1" x14ac:dyDescent="0.25">
      <c r="A9010" t="s">
        <v>691</v>
      </c>
      <c r="B9010" t="s">
        <v>34</v>
      </c>
      <c r="C9010" s="2">
        <f>HYPERLINK("https://sao.dolgi.msk.ru/account/1404189254/", 1404189254)</f>
        <v>1404189254</v>
      </c>
      <c r="D9010">
        <v>-7471.48</v>
      </c>
    </row>
    <row r="9011" spans="1:4" hidden="1" x14ac:dyDescent="0.25">
      <c r="A9011" t="s">
        <v>691</v>
      </c>
      <c r="B9011" t="s">
        <v>35</v>
      </c>
      <c r="C9011" s="2">
        <f>HYPERLINK("https://sao.dolgi.msk.ru/account/1404189051/", 1404189051)</f>
        <v>1404189051</v>
      </c>
      <c r="D9011">
        <v>-6437.16</v>
      </c>
    </row>
    <row r="9012" spans="1:4" x14ac:dyDescent="0.25">
      <c r="A9012" t="s">
        <v>691</v>
      </c>
      <c r="B9012" t="s">
        <v>36</v>
      </c>
      <c r="C9012" s="2">
        <f>HYPERLINK("https://sao.dolgi.msk.ru/account/1404189262/", 1404189262)</f>
        <v>1404189262</v>
      </c>
      <c r="D9012">
        <v>155391.70000000001</v>
      </c>
    </row>
    <row r="9013" spans="1:4" hidden="1" x14ac:dyDescent="0.25">
      <c r="A9013" t="s">
        <v>691</v>
      </c>
      <c r="B9013" t="s">
        <v>37</v>
      </c>
      <c r="C9013" s="2">
        <f>HYPERLINK("https://sao.dolgi.msk.ru/account/1404190458/", 1404190458)</f>
        <v>1404190458</v>
      </c>
      <c r="D9013">
        <v>-8212.64</v>
      </c>
    </row>
    <row r="9014" spans="1:4" hidden="1" x14ac:dyDescent="0.25">
      <c r="A9014" t="s">
        <v>691</v>
      </c>
      <c r="B9014" t="s">
        <v>38</v>
      </c>
      <c r="C9014" s="2">
        <f>HYPERLINK("https://sao.dolgi.msk.ru/account/1404189705/", 1404189705)</f>
        <v>1404189705</v>
      </c>
      <c r="D9014">
        <v>0</v>
      </c>
    </row>
    <row r="9015" spans="1:4" hidden="1" x14ac:dyDescent="0.25">
      <c r="A9015" t="s">
        <v>691</v>
      </c>
      <c r="B9015" t="s">
        <v>39</v>
      </c>
      <c r="C9015" s="2">
        <f>HYPERLINK("https://sao.dolgi.msk.ru/account/1404190079/", 1404190079)</f>
        <v>1404190079</v>
      </c>
      <c r="D9015">
        <v>-5663.88</v>
      </c>
    </row>
    <row r="9016" spans="1:4" x14ac:dyDescent="0.25">
      <c r="A9016" t="s">
        <v>691</v>
      </c>
      <c r="B9016" t="s">
        <v>40</v>
      </c>
      <c r="C9016" s="2">
        <f>HYPERLINK("https://sao.dolgi.msk.ru/account/1404190044/", 1404190044)</f>
        <v>1404190044</v>
      </c>
      <c r="D9016">
        <v>5248.96</v>
      </c>
    </row>
    <row r="9017" spans="1:4" hidden="1" x14ac:dyDescent="0.25">
      <c r="A9017" t="s">
        <v>691</v>
      </c>
      <c r="B9017" t="s">
        <v>41</v>
      </c>
      <c r="C9017" s="2">
        <f>HYPERLINK("https://sao.dolgi.msk.ru/account/1404190052/", 1404190052)</f>
        <v>1404190052</v>
      </c>
      <c r="D9017">
        <v>-5562.75</v>
      </c>
    </row>
    <row r="9018" spans="1:4" hidden="1" x14ac:dyDescent="0.25">
      <c r="A9018" t="s">
        <v>691</v>
      </c>
      <c r="B9018" t="s">
        <v>42</v>
      </c>
      <c r="C9018" s="2">
        <f>HYPERLINK("https://sao.dolgi.msk.ru/account/1404189078/", 1404189078)</f>
        <v>1404189078</v>
      </c>
      <c r="D9018">
        <v>-4420.71</v>
      </c>
    </row>
    <row r="9019" spans="1:4" x14ac:dyDescent="0.25">
      <c r="A9019" t="s">
        <v>691</v>
      </c>
      <c r="B9019" t="s">
        <v>43</v>
      </c>
      <c r="C9019" s="2">
        <f>HYPERLINK("https://sao.dolgi.msk.ru/account/1404189545/", 1404189545)</f>
        <v>1404189545</v>
      </c>
      <c r="D9019">
        <v>1284</v>
      </c>
    </row>
    <row r="9020" spans="1:4" hidden="1" x14ac:dyDescent="0.25">
      <c r="A9020" t="s">
        <v>691</v>
      </c>
      <c r="B9020" t="s">
        <v>44</v>
      </c>
      <c r="C9020" s="2">
        <f>HYPERLINK("https://sao.dolgi.msk.ru/account/1404188913/", 1404188913)</f>
        <v>1404188913</v>
      </c>
      <c r="D9020">
        <v>-6013.65</v>
      </c>
    </row>
    <row r="9021" spans="1:4" hidden="1" x14ac:dyDescent="0.25">
      <c r="A9021" t="s">
        <v>691</v>
      </c>
      <c r="B9021" t="s">
        <v>45</v>
      </c>
      <c r="C9021" s="2">
        <f>HYPERLINK("https://sao.dolgi.msk.ru/account/1404189553/", 1404189553)</f>
        <v>1404189553</v>
      </c>
      <c r="D9021">
        <v>0</v>
      </c>
    </row>
    <row r="9022" spans="1:4" hidden="1" x14ac:dyDescent="0.25">
      <c r="A9022" t="s">
        <v>691</v>
      </c>
      <c r="B9022" t="s">
        <v>46</v>
      </c>
      <c r="C9022" s="2">
        <f>HYPERLINK("https://sao.dolgi.msk.ru/account/1404189895/", 1404189895)</f>
        <v>1404189895</v>
      </c>
      <c r="D9022">
        <v>0</v>
      </c>
    </row>
    <row r="9023" spans="1:4" hidden="1" x14ac:dyDescent="0.25">
      <c r="A9023" t="s">
        <v>691</v>
      </c>
      <c r="B9023" t="s">
        <v>47</v>
      </c>
      <c r="C9023" s="2">
        <f>HYPERLINK("https://sao.dolgi.msk.ru/account/1404189561/", 1404189561)</f>
        <v>1404189561</v>
      </c>
      <c r="D9023">
        <v>-7830.91</v>
      </c>
    </row>
    <row r="9024" spans="1:4" hidden="1" x14ac:dyDescent="0.25">
      <c r="A9024" t="s">
        <v>691</v>
      </c>
      <c r="B9024" t="s">
        <v>48</v>
      </c>
      <c r="C9024" s="2">
        <f>HYPERLINK("https://sao.dolgi.msk.ru/account/1404190327/", 1404190327)</f>
        <v>1404190327</v>
      </c>
      <c r="D9024">
        <v>-8309.26</v>
      </c>
    </row>
    <row r="9025" spans="1:4" hidden="1" x14ac:dyDescent="0.25">
      <c r="A9025" t="s">
        <v>691</v>
      </c>
      <c r="B9025" t="s">
        <v>49</v>
      </c>
      <c r="C9025" s="2">
        <f>HYPERLINK("https://sao.dolgi.msk.ru/account/1404190167/", 1404190167)</f>
        <v>1404190167</v>
      </c>
      <c r="D9025">
        <v>-6441.49</v>
      </c>
    </row>
    <row r="9026" spans="1:4" x14ac:dyDescent="0.25">
      <c r="A9026" t="s">
        <v>691</v>
      </c>
      <c r="B9026" t="s">
        <v>50</v>
      </c>
      <c r="C9026" s="2">
        <f>HYPERLINK("https://sao.dolgi.msk.ru/account/1404189908/", 1404189908)</f>
        <v>1404189908</v>
      </c>
      <c r="D9026">
        <v>1284</v>
      </c>
    </row>
    <row r="9027" spans="1:4" hidden="1" x14ac:dyDescent="0.25">
      <c r="A9027" t="s">
        <v>691</v>
      </c>
      <c r="B9027" t="s">
        <v>51</v>
      </c>
      <c r="C9027" s="2">
        <f>HYPERLINK("https://sao.dolgi.msk.ru/account/1404189318/", 1404189318)</f>
        <v>1404189318</v>
      </c>
      <c r="D9027">
        <v>-4589.7299999999996</v>
      </c>
    </row>
    <row r="9028" spans="1:4" hidden="1" x14ac:dyDescent="0.25">
      <c r="A9028" t="s">
        <v>691</v>
      </c>
      <c r="B9028" t="s">
        <v>52</v>
      </c>
      <c r="C9028" s="2">
        <f>HYPERLINK("https://sao.dolgi.msk.ru/account/1404190271/", 1404190271)</f>
        <v>1404190271</v>
      </c>
      <c r="D9028">
        <v>-5402.12</v>
      </c>
    </row>
    <row r="9029" spans="1:4" x14ac:dyDescent="0.25">
      <c r="A9029" t="s">
        <v>691</v>
      </c>
      <c r="B9029" t="s">
        <v>53</v>
      </c>
      <c r="C9029" s="2">
        <f>HYPERLINK("https://sao.dolgi.msk.ru/account/1404188833/", 1404188833)</f>
        <v>1404188833</v>
      </c>
      <c r="D9029">
        <v>12823.39</v>
      </c>
    </row>
    <row r="9030" spans="1:4" hidden="1" x14ac:dyDescent="0.25">
      <c r="A9030" t="s">
        <v>691</v>
      </c>
      <c r="B9030" t="s">
        <v>54</v>
      </c>
      <c r="C9030" s="2">
        <f>HYPERLINK("https://sao.dolgi.msk.ru/account/1404188841/", 1404188841)</f>
        <v>1404188841</v>
      </c>
      <c r="D9030">
        <v>-6026.61</v>
      </c>
    </row>
    <row r="9031" spans="1:4" x14ac:dyDescent="0.25">
      <c r="A9031" t="s">
        <v>691</v>
      </c>
      <c r="B9031" t="s">
        <v>55</v>
      </c>
      <c r="C9031" s="2">
        <f>HYPERLINK("https://sao.dolgi.msk.ru/account/1404188868/", 1404188868)</f>
        <v>1404188868</v>
      </c>
      <c r="D9031">
        <v>22207.86</v>
      </c>
    </row>
    <row r="9032" spans="1:4" hidden="1" x14ac:dyDescent="0.25">
      <c r="A9032" t="s">
        <v>691</v>
      </c>
      <c r="B9032" t="s">
        <v>56</v>
      </c>
      <c r="C9032" s="2">
        <f>HYPERLINK("https://sao.dolgi.msk.ru/account/1404190159/", 1404190159)</f>
        <v>1404190159</v>
      </c>
      <c r="D9032">
        <v>-10836.14</v>
      </c>
    </row>
    <row r="9033" spans="1:4" hidden="1" x14ac:dyDescent="0.25">
      <c r="A9033" t="s">
        <v>691</v>
      </c>
      <c r="B9033" t="s">
        <v>57</v>
      </c>
      <c r="C9033" s="2">
        <f>HYPERLINK("https://sao.dolgi.msk.ru/account/1404189326/", 1404189326)</f>
        <v>1404189326</v>
      </c>
      <c r="D9033">
        <v>-8782.89</v>
      </c>
    </row>
    <row r="9034" spans="1:4" hidden="1" x14ac:dyDescent="0.25">
      <c r="A9034" t="s">
        <v>691</v>
      </c>
      <c r="B9034" t="s">
        <v>58</v>
      </c>
      <c r="C9034" s="2">
        <f>HYPERLINK("https://sao.dolgi.msk.ru/account/1404189748/", 1404189748)</f>
        <v>1404189748</v>
      </c>
      <c r="D9034">
        <v>-3975.25</v>
      </c>
    </row>
    <row r="9035" spans="1:4" x14ac:dyDescent="0.25">
      <c r="A9035" t="s">
        <v>691</v>
      </c>
      <c r="B9035" t="s">
        <v>59</v>
      </c>
      <c r="C9035" s="2">
        <f>HYPERLINK("https://sao.dolgi.msk.ru/account/1404189107/", 1404189107)</f>
        <v>1404189107</v>
      </c>
      <c r="D9035">
        <v>50078.53</v>
      </c>
    </row>
    <row r="9036" spans="1:4" hidden="1" x14ac:dyDescent="0.25">
      <c r="A9036" t="s">
        <v>691</v>
      </c>
      <c r="B9036" t="s">
        <v>60</v>
      </c>
      <c r="C9036" s="2">
        <f>HYPERLINK("https://sao.dolgi.msk.ru/account/1404189529/", 1404189529)</f>
        <v>1404189529</v>
      </c>
      <c r="D9036">
        <v>0</v>
      </c>
    </row>
    <row r="9037" spans="1:4" hidden="1" x14ac:dyDescent="0.25">
      <c r="A9037" t="s">
        <v>691</v>
      </c>
      <c r="B9037" t="s">
        <v>61</v>
      </c>
      <c r="C9037" s="2">
        <f>HYPERLINK("https://sao.dolgi.msk.ru/account/1404188876/", 1404188876)</f>
        <v>1404188876</v>
      </c>
      <c r="D9037">
        <v>-9018.73</v>
      </c>
    </row>
    <row r="9038" spans="1:4" hidden="1" x14ac:dyDescent="0.25">
      <c r="A9038" t="s">
        <v>691</v>
      </c>
      <c r="B9038" t="s">
        <v>62</v>
      </c>
      <c r="C9038" s="2">
        <f>HYPERLINK("https://sao.dolgi.msk.ru/account/1404188884/", 1404188884)</f>
        <v>1404188884</v>
      </c>
      <c r="D9038">
        <v>-5578.86</v>
      </c>
    </row>
    <row r="9039" spans="1:4" hidden="1" x14ac:dyDescent="0.25">
      <c r="A9039" t="s">
        <v>691</v>
      </c>
      <c r="B9039" t="s">
        <v>63</v>
      </c>
      <c r="C9039" s="2">
        <f>HYPERLINK("https://sao.dolgi.msk.ru/account/1404188892/", 1404188892)</f>
        <v>1404188892</v>
      </c>
      <c r="D9039">
        <v>-5897.04</v>
      </c>
    </row>
    <row r="9040" spans="1:4" x14ac:dyDescent="0.25">
      <c r="A9040" t="s">
        <v>691</v>
      </c>
      <c r="B9040" t="s">
        <v>64</v>
      </c>
      <c r="C9040" s="2">
        <f>HYPERLINK("https://sao.dolgi.msk.ru/account/1404189334/", 1404189334)</f>
        <v>1404189334</v>
      </c>
      <c r="D9040">
        <v>3217.07</v>
      </c>
    </row>
    <row r="9041" spans="1:4" hidden="1" x14ac:dyDescent="0.25">
      <c r="A9041" t="s">
        <v>691</v>
      </c>
      <c r="B9041" t="s">
        <v>65</v>
      </c>
      <c r="C9041" s="2">
        <f>HYPERLINK("https://sao.dolgi.msk.ru/account/1404189537/", 1404189537)</f>
        <v>1404189537</v>
      </c>
      <c r="D9041">
        <v>-4383.07</v>
      </c>
    </row>
    <row r="9042" spans="1:4" hidden="1" x14ac:dyDescent="0.25">
      <c r="A9042" t="s">
        <v>691</v>
      </c>
      <c r="B9042" t="s">
        <v>66</v>
      </c>
      <c r="C9042" s="2">
        <f>HYPERLINK("https://sao.dolgi.msk.ru/account/1404189342/", 1404189342)</f>
        <v>1404189342</v>
      </c>
      <c r="D9042">
        <v>-4947.09</v>
      </c>
    </row>
    <row r="9043" spans="1:4" hidden="1" x14ac:dyDescent="0.25">
      <c r="A9043" t="s">
        <v>691</v>
      </c>
      <c r="B9043" t="s">
        <v>67</v>
      </c>
      <c r="C9043" s="2">
        <f>HYPERLINK("https://sao.dolgi.msk.ru/account/1404189879/", 1404189879)</f>
        <v>1404189879</v>
      </c>
      <c r="D9043">
        <v>-6702.88</v>
      </c>
    </row>
    <row r="9044" spans="1:4" hidden="1" x14ac:dyDescent="0.25">
      <c r="A9044" t="s">
        <v>691</v>
      </c>
      <c r="B9044" t="s">
        <v>68</v>
      </c>
      <c r="C9044" s="2">
        <f>HYPERLINK("https://sao.dolgi.msk.ru/account/1404189756/", 1404189756)</f>
        <v>1404189756</v>
      </c>
      <c r="D9044">
        <v>-6060.1</v>
      </c>
    </row>
    <row r="9045" spans="1:4" x14ac:dyDescent="0.25">
      <c r="A9045" t="s">
        <v>691</v>
      </c>
      <c r="B9045" t="s">
        <v>69</v>
      </c>
      <c r="C9045" s="2">
        <f>HYPERLINK("https://sao.dolgi.msk.ru/account/1404189887/", 1404189887)</f>
        <v>1404189887</v>
      </c>
      <c r="D9045">
        <v>14497.68</v>
      </c>
    </row>
    <row r="9046" spans="1:4" hidden="1" x14ac:dyDescent="0.25">
      <c r="A9046" t="s">
        <v>691</v>
      </c>
      <c r="B9046" t="s">
        <v>70</v>
      </c>
      <c r="C9046" s="2">
        <f>HYPERLINK("https://sao.dolgi.msk.ru/account/1404190319/", 1404190319)</f>
        <v>1404190319</v>
      </c>
      <c r="D9046">
        <v>0</v>
      </c>
    </row>
    <row r="9047" spans="1:4" hidden="1" x14ac:dyDescent="0.25">
      <c r="A9047" t="s">
        <v>691</v>
      </c>
      <c r="B9047" t="s">
        <v>71</v>
      </c>
      <c r="C9047" s="2">
        <f>HYPERLINK("https://sao.dolgi.msk.ru/account/1404188905/", 1404188905)</f>
        <v>1404188905</v>
      </c>
      <c r="D9047">
        <v>-5769.85</v>
      </c>
    </row>
    <row r="9048" spans="1:4" hidden="1" x14ac:dyDescent="0.25">
      <c r="A9048" t="s">
        <v>691</v>
      </c>
      <c r="B9048" t="s">
        <v>72</v>
      </c>
      <c r="C9048" s="2">
        <f>HYPERLINK("https://sao.dolgi.msk.ru/account/1404190394/", 1404190394)</f>
        <v>1404190394</v>
      </c>
      <c r="D9048">
        <v>-7986.78</v>
      </c>
    </row>
    <row r="9049" spans="1:4" hidden="1" x14ac:dyDescent="0.25">
      <c r="A9049" t="s">
        <v>691</v>
      </c>
      <c r="B9049" t="s">
        <v>73</v>
      </c>
      <c r="C9049" s="2">
        <f>HYPERLINK("https://sao.dolgi.msk.ru/account/1404190407/", 1404190407)</f>
        <v>1404190407</v>
      </c>
      <c r="D9049">
        <v>-8514.83</v>
      </c>
    </row>
    <row r="9050" spans="1:4" hidden="1" x14ac:dyDescent="0.25">
      <c r="A9050" t="s">
        <v>691</v>
      </c>
      <c r="B9050" t="s">
        <v>74</v>
      </c>
      <c r="C9050" s="2">
        <f>HYPERLINK("https://sao.dolgi.msk.ru/account/1404189166/", 1404189166)</f>
        <v>1404189166</v>
      </c>
      <c r="D9050">
        <v>-4078.01</v>
      </c>
    </row>
    <row r="9051" spans="1:4" hidden="1" x14ac:dyDescent="0.25">
      <c r="A9051" t="s">
        <v>691</v>
      </c>
      <c r="B9051" t="s">
        <v>75</v>
      </c>
      <c r="C9051" s="2">
        <f>HYPERLINK("https://sao.dolgi.msk.ru/account/1404189174/", 1404189174)</f>
        <v>1404189174</v>
      </c>
      <c r="D9051">
        <v>-4261.92</v>
      </c>
    </row>
    <row r="9052" spans="1:4" hidden="1" x14ac:dyDescent="0.25">
      <c r="A9052" t="s">
        <v>691</v>
      </c>
      <c r="B9052" t="s">
        <v>76</v>
      </c>
      <c r="C9052" s="2">
        <f>HYPERLINK("https://sao.dolgi.msk.ru/account/1404188956/", 1404188956)</f>
        <v>1404188956</v>
      </c>
      <c r="D9052">
        <v>0</v>
      </c>
    </row>
    <row r="9053" spans="1:4" x14ac:dyDescent="0.25">
      <c r="A9053" t="s">
        <v>691</v>
      </c>
      <c r="B9053" t="s">
        <v>77</v>
      </c>
      <c r="C9053" s="2">
        <f>HYPERLINK("https://sao.dolgi.msk.ru/account/1404189422/", 1404189422)</f>
        <v>1404189422</v>
      </c>
      <c r="D9053">
        <v>7552.54</v>
      </c>
    </row>
    <row r="9054" spans="1:4" hidden="1" x14ac:dyDescent="0.25">
      <c r="A9054" t="s">
        <v>691</v>
      </c>
      <c r="B9054" t="s">
        <v>78</v>
      </c>
      <c r="C9054" s="2">
        <f>HYPERLINK("https://sao.dolgi.msk.ru/account/1404188964/", 1404188964)</f>
        <v>1404188964</v>
      </c>
      <c r="D9054">
        <v>-8243.48</v>
      </c>
    </row>
    <row r="9055" spans="1:4" x14ac:dyDescent="0.25">
      <c r="A9055" t="s">
        <v>691</v>
      </c>
      <c r="B9055" t="s">
        <v>79</v>
      </c>
      <c r="C9055" s="2">
        <f>HYPERLINK("https://sao.dolgi.msk.ru/account/1404189633/", 1404189633)</f>
        <v>1404189633</v>
      </c>
      <c r="D9055">
        <v>15639.2</v>
      </c>
    </row>
    <row r="9056" spans="1:4" hidden="1" x14ac:dyDescent="0.25">
      <c r="A9056" t="s">
        <v>691</v>
      </c>
      <c r="B9056" t="s">
        <v>80</v>
      </c>
      <c r="C9056" s="2">
        <f>HYPERLINK("https://sao.dolgi.msk.ru/account/1404189182/", 1404189182)</f>
        <v>1404189182</v>
      </c>
      <c r="D9056">
        <v>-5760.86</v>
      </c>
    </row>
    <row r="9057" spans="1:4" hidden="1" x14ac:dyDescent="0.25">
      <c r="A9057" t="s">
        <v>691</v>
      </c>
      <c r="B9057" t="s">
        <v>81</v>
      </c>
      <c r="C9057" s="2">
        <f>HYPERLINK("https://sao.dolgi.msk.ru/account/1404190415/", 1404190415)</f>
        <v>1404190415</v>
      </c>
      <c r="D9057">
        <v>-6249.38</v>
      </c>
    </row>
    <row r="9058" spans="1:4" hidden="1" x14ac:dyDescent="0.25">
      <c r="A9058" t="s">
        <v>691</v>
      </c>
      <c r="B9058" t="s">
        <v>82</v>
      </c>
      <c r="C9058" s="2">
        <f>HYPERLINK("https://sao.dolgi.msk.ru/account/1404190212/", 1404190212)</f>
        <v>1404190212</v>
      </c>
      <c r="D9058">
        <v>-5933.56</v>
      </c>
    </row>
    <row r="9059" spans="1:4" hidden="1" x14ac:dyDescent="0.25">
      <c r="A9059" t="s">
        <v>691</v>
      </c>
      <c r="B9059" t="s">
        <v>83</v>
      </c>
      <c r="C9059" s="2">
        <f>HYPERLINK("https://sao.dolgi.msk.ru/account/1404189828/", 1404189828)</f>
        <v>1404189828</v>
      </c>
      <c r="D9059">
        <v>-3714.41</v>
      </c>
    </row>
    <row r="9060" spans="1:4" hidden="1" x14ac:dyDescent="0.25">
      <c r="A9060" t="s">
        <v>691</v>
      </c>
      <c r="B9060" t="s">
        <v>84</v>
      </c>
      <c r="C9060" s="2">
        <f>HYPERLINK("https://sao.dolgi.msk.ru/account/1404189203/", 1404189203)</f>
        <v>1404189203</v>
      </c>
      <c r="D9060">
        <v>-6641.16</v>
      </c>
    </row>
    <row r="9061" spans="1:4" x14ac:dyDescent="0.25">
      <c r="A9061" t="s">
        <v>691</v>
      </c>
      <c r="B9061" t="s">
        <v>85</v>
      </c>
      <c r="C9061" s="2">
        <f>HYPERLINK("https://sao.dolgi.msk.ru/account/1404189713/", 1404189713)</f>
        <v>1404189713</v>
      </c>
      <c r="D9061">
        <v>3570.96</v>
      </c>
    </row>
    <row r="9062" spans="1:4" x14ac:dyDescent="0.25">
      <c r="A9062" t="s">
        <v>691</v>
      </c>
      <c r="B9062" t="s">
        <v>85</v>
      </c>
      <c r="C9062" s="2">
        <f>HYPERLINK("https://sao.dolgi.msk.ru/account/1404190239/", 1404190239)</f>
        <v>1404190239</v>
      </c>
      <c r="D9062">
        <v>8799.7900000000009</v>
      </c>
    </row>
    <row r="9063" spans="1:4" hidden="1" x14ac:dyDescent="0.25">
      <c r="A9063" t="s">
        <v>691</v>
      </c>
      <c r="B9063" t="s">
        <v>86</v>
      </c>
      <c r="C9063" s="2">
        <f>HYPERLINK("https://sao.dolgi.msk.ru/account/1404190247/", 1404190247)</f>
        <v>1404190247</v>
      </c>
      <c r="D9063">
        <v>0</v>
      </c>
    </row>
    <row r="9064" spans="1:4" x14ac:dyDescent="0.25">
      <c r="A9064" t="s">
        <v>691</v>
      </c>
      <c r="B9064" t="s">
        <v>87</v>
      </c>
      <c r="C9064" s="2">
        <f>HYPERLINK("https://sao.dolgi.msk.ru/account/1404189641/", 1404189641)</f>
        <v>1404189641</v>
      </c>
      <c r="D9064">
        <v>3289.03</v>
      </c>
    </row>
    <row r="9065" spans="1:4" hidden="1" x14ac:dyDescent="0.25">
      <c r="A9065" t="s">
        <v>691</v>
      </c>
      <c r="B9065" t="s">
        <v>88</v>
      </c>
      <c r="C9065" s="2">
        <f>HYPERLINK("https://sao.dolgi.msk.ru/account/1404189836/", 1404189836)</f>
        <v>1404189836</v>
      </c>
      <c r="D9065">
        <v>-4665.8599999999997</v>
      </c>
    </row>
    <row r="9066" spans="1:4" x14ac:dyDescent="0.25">
      <c r="A9066" t="s">
        <v>691</v>
      </c>
      <c r="B9066" t="s">
        <v>89</v>
      </c>
      <c r="C9066" s="2">
        <f>HYPERLINK("https://sao.dolgi.msk.ru/account/1404188972/", 1404188972)</f>
        <v>1404188972</v>
      </c>
      <c r="D9066">
        <v>1754.16</v>
      </c>
    </row>
    <row r="9067" spans="1:4" hidden="1" x14ac:dyDescent="0.25">
      <c r="A9067" t="s">
        <v>691</v>
      </c>
      <c r="B9067" t="s">
        <v>90</v>
      </c>
      <c r="C9067" s="2">
        <f>HYPERLINK("https://sao.dolgi.msk.ru/account/1404189668/", 1404189668)</f>
        <v>1404189668</v>
      </c>
      <c r="D9067">
        <v>0</v>
      </c>
    </row>
    <row r="9068" spans="1:4" hidden="1" x14ac:dyDescent="0.25">
      <c r="A9068" t="s">
        <v>691</v>
      </c>
      <c r="B9068" t="s">
        <v>91</v>
      </c>
      <c r="C9068" s="2">
        <f>HYPERLINK("https://sao.dolgi.msk.ru/account/1404189289/", 1404189289)</f>
        <v>1404189289</v>
      </c>
      <c r="D9068">
        <v>-9801.07</v>
      </c>
    </row>
    <row r="9069" spans="1:4" hidden="1" x14ac:dyDescent="0.25">
      <c r="A9069" t="s">
        <v>691</v>
      </c>
      <c r="B9069" t="s">
        <v>91</v>
      </c>
      <c r="C9069" s="2">
        <f>HYPERLINK("https://sao.dolgi.msk.ru/account/1404190095/", 1404190095)</f>
        <v>1404190095</v>
      </c>
      <c r="D9069">
        <v>0</v>
      </c>
    </row>
    <row r="9070" spans="1:4" hidden="1" x14ac:dyDescent="0.25">
      <c r="A9070" t="s">
        <v>691</v>
      </c>
      <c r="B9070" t="s">
        <v>92</v>
      </c>
      <c r="C9070" s="2">
        <f>HYPERLINK("https://sao.dolgi.msk.ru/account/1404188817/", 1404188817)</f>
        <v>1404188817</v>
      </c>
      <c r="D9070">
        <v>-6622.89</v>
      </c>
    </row>
    <row r="9071" spans="1:4" x14ac:dyDescent="0.25">
      <c r="A9071" t="s">
        <v>691</v>
      </c>
      <c r="B9071" t="s">
        <v>93</v>
      </c>
      <c r="C9071" s="2">
        <f>HYPERLINK("https://sao.dolgi.msk.ru/account/1404188825/", 1404188825)</f>
        <v>1404188825</v>
      </c>
      <c r="D9071">
        <v>53404.33</v>
      </c>
    </row>
    <row r="9072" spans="1:4" hidden="1" x14ac:dyDescent="0.25">
      <c r="A9072" t="s">
        <v>691</v>
      </c>
      <c r="B9072" t="s">
        <v>94</v>
      </c>
      <c r="C9072" s="2">
        <f>HYPERLINK("https://sao.dolgi.msk.ru/account/1404189297/", 1404189297)</f>
        <v>1404189297</v>
      </c>
      <c r="D9072">
        <v>-4855.37</v>
      </c>
    </row>
    <row r="9073" spans="1:4" hidden="1" x14ac:dyDescent="0.25">
      <c r="A9073" t="s">
        <v>691</v>
      </c>
      <c r="B9073" t="s">
        <v>95</v>
      </c>
      <c r="C9073" s="2">
        <f>HYPERLINK("https://sao.dolgi.msk.ru/account/1404189502/", 1404189502)</f>
        <v>1404189502</v>
      </c>
      <c r="D9073">
        <v>-2997.68</v>
      </c>
    </row>
    <row r="9074" spans="1:4" hidden="1" x14ac:dyDescent="0.25">
      <c r="A9074" t="s">
        <v>691</v>
      </c>
      <c r="B9074" t="s">
        <v>95</v>
      </c>
      <c r="C9074" s="2">
        <f>HYPERLINK("https://sao.dolgi.msk.ru/account/1404190116/", 1404190116)</f>
        <v>1404190116</v>
      </c>
      <c r="D9074">
        <v>-1774.82</v>
      </c>
    </row>
    <row r="9075" spans="1:4" hidden="1" x14ac:dyDescent="0.25">
      <c r="A9075" t="s">
        <v>691</v>
      </c>
      <c r="B9075" t="s">
        <v>96</v>
      </c>
      <c r="C9075" s="2">
        <f>HYPERLINK("https://sao.dolgi.msk.ru/account/1404189094/", 1404189094)</f>
        <v>1404189094</v>
      </c>
      <c r="D9075">
        <v>-2289.04</v>
      </c>
    </row>
    <row r="9076" spans="1:4" hidden="1" x14ac:dyDescent="0.25">
      <c r="A9076" t="s">
        <v>691</v>
      </c>
      <c r="B9076" t="s">
        <v>96</v>
      </c>
      <c r="C9076" s="2">
        <f>HYPERLINK("https://sao.dolgi.msk.ru/account/1404190263/", 1404190263)</f>
        <v>1404190263</v>
      </c>
      <c r="D9076">
        <v>-3857.12</v>
      </c>
    </row>
    <row r="9077" spans="1:4" hidden="1" x14ac:dyDescent="0.25">
      <c r="A9077" t="s">
        <v>691</v>
      </c>
      <c r="B9077" t="s">
        <v>97</v>
      </c>
      <c r="C9077" s="2">
        <f>HYPERLINK("https://sao.dolgi.msk.ru/account/1404190124/", 1404190124)</f>
        <v>1404190124</v>
      </c>
      <c r="D9077">
        <v>-7793.41</v>
      </c>
    </row>
    <row r="9078" spans="1:4" hidden="1" x14ac:dyDescent="0.25">
      <c r="A9078" t="s">
        <v>691</v>
      </c>
      <c r="B9078" t="s">
        <v>98</v>
      </c>
      <c r="C9078" s="2">
        <f>HYPERLINK("https://sao.dolgi.msk.ru/account/1404189086/", 1404189086)</f>
        <v>1404189086</v>
      </c>
      <c r="D9078">
        <v>0</v>
      </c>
    </row>
    <row r="9079" spans="1:4" hidden="1" x14ac:dyDescent="0.25">
      <c r="A9079" t="s">
        <v>691</v>
      </c>
      <c r="B9079" t="s">
        <v>99</v>
      </c>
      <c r="C9079" s="2">
        <f>HYPERLINK("https://sao.dolgi.msk.ru/account/1404190087/", 1404190087)</f>
        <v>1404190087</v>
      </c>
      <c r="D9079">
        <v>0</v>
      </c>
    </row>
    <row r="9080" spans="1:4" hidden="1" x14ac:dyDescent="0.25">
      <c r="A9080" t="s">
        <v>691</v>
      </c>
      <c r="B9080" t="s">
        <v>100</v>
      </c>
      <c r="C9080" s="2">
        <f>HYPERLINK("https://sao.dolgi.msk.ru/account/1404189721/", 1404189721)</f>
        <v>1404189721</v>
      </c>
      <c r="D9080">
        <v>-7123.28</v>
      </c>
    </row>
    <row r="9081" spans="1:4" hidden="1" x14ac:dyDescent="0.25">
      <c r="A9081" t="s">
        <v>691</v>
      </c>
      <c r="B9081" t="s">
        <v>101</v>
      </c>
      <c r="C9081" s="2">
        <f>HYPERLINK("https://sao.dolgi.msk.ru/account/1404189481/", 1404189481)</f>
        <v>1404189481</v>
      </c>
      <c r="D9081">
        <v>-9660.5400000000009</v>
      </c>
    </row>
    <row r="9082" spans="1:4" hidden="1" x14ac:dyDescent="0.25">
      <c r="A9082" t="s">
        <v>691</v>
      </c>
      <c r="B9082" t="s">
        <v>102</v>
      </c>
      <c r="C9082" s="2">
        <f>HYPERLINK("https://sao.dolgi.msk.ru/account/1404190386/", 1404190386)</f>
        <v>1404190386</v>
      </c>
      <c r="D9082">
        <v>-3860.42</v>
      </c>
    </row>
    <row r="9083" spans="1:4" hidden="1" x14ac:dyDescent="0.25">
      <c r="A9083" t="s">
        <v>691</v>
      </c>
      <c r="B9083" t="s">
        <v>103</v>
      </c>
      <c r="C9083" s="2">
        <f>HYPERLINK("https://sao.dolgi.msk.ru/account/1404189967/", 1404189967)</f>
        <v>1404189967</v>
      </c>
      <c r="D9083">
        <v>0</v>
      </c>
    </row>
    <row r="9084" spans="1:4" hidden="1" x14ac:dyDescent="0.25">
      <c r="A9084" t="s">
        <v>691</v>
      </c>
      <c r="B9084" t="s">
        <v>104</v>
      </c>
      <c r="C9084" s="2">
        <f>HYPERLINK("https://sao.dolgi.msk.ru/account/1404189684/", 1404189684)</f>
        <v>1404189684</v>
      </c>
      <c r="D9084">
        <v>0</v>
      </c>
    </row>
    <row r="9085" spans="1:4" hidden="1" x14ac:dyDescent="0.25">
      <c r="A9085" t="s">
        <v>691</v>
      </c>
      <c r="B9085" t="s">
        <v>105</v>
      </c>
      <c r="C9085" s="2">
        <f>HYPERLINK("https://sao.dolgi.msk.ru/account/1404189692/", 1404189692)</f>
        <v>1404189692</v>
      </c>
      <c r="D9085">
        <v>-6580.38</v>
      </c>
    </row>
    <row r="9086" spans="1:4" hidden="1" x14ac:dyDescent="0.25">
      <c r="A9086" t="s">
        <v>691</v>
      </c>
      <c r="B9086" t="s">
        <v>106</v>
      </c>
      <c r="C9086" s="2">
        <f>HYPERLINK("https://sao.dolgi.msk.ru/account/1404189019/", 1404189019)</f>
        <v>1404189019</v>
      </c>
      <c r="D9086">
        <v>-5962.57</v>
      </c>
    </row>
    <row r="9087" spans="1:4" hidden="1" x14ac:dyDescent="0.25">
      <c r="A9087" t="s">
        <v>691</v>
      </c>
      <c r="B9087" t="s">
        <v>107</v>
      </c>
      <c r="C9087" s="2">
        <f>HYPERLINK("https://sao.dolgi.msk.ru/account/1404189377/", 1404189377)</f>
        <v>1404189377</v>
      </c>
      <c r="D9087">
        <v>0</v>
      </c>
    </row>
    <row r="9088" spans="1:4" x14ac:dyDescent="0.25">
      <c r="A9088" t="s">
        <v>691</v>
      </c>
      <c r="B9088" t="s">
        <v>108</v>
      </c>
      <c r="C9088" s="2">
        <f>HYPERLINK("https://sao.dolgi.msk.ru/account/1404188921/", 1404188921)</f>
        <v>1404188921</v>
      </c>
      <c r="D9088">
        <v>50322.01</v>
      </c>
    </row>
    <row r="9089" spans="1:4" hidden="1" x14ac:dyDescent="0.25">
      <c r="A9089" t="s">
        <v>691</v>
      </c>
      <c r="B9089" t="s">
        <v>109</v>
      </c>
      <c r="C9089" s="2">
        <f>HYPERLINK("https://sao.dolgi.msk.ru/account/1404190191/", 1404190191)</f>
        <v>1404190191</v>
      </c>
      <c r="D9089">
        <v>-5762.99</v>
      </c>
    </row>
    <row r="9090" spans="1:4" hidden="1" x14ac:dyDescent="0.25">
      <c r="A9090" t="s">
        <v>691</v>
      </c>
      <c r="B9090" t="s">
        <v>110</v>
      </c>
      <c r="C9090" s="2">
        <f>HYPERLINK("https://sao.dolgi.msk.ru/account/1404190204/", 1404190204)</f>
        <v>1404190204</v>
      </c>
      <c r="D9090">
        <v>-3973.35</v>
      </c>
    </row>
    <row r="9091" spans="1:4" hidden="1" x14ac:dyDescent="0.25">
      <c r="A9091" t="s">
        <v>691</v>
      </c>
      <c r="B9091" t="s">
        <v>111</v>
      </c>
      <c r="C9091" s="2">
        <f>HYPERLINK("https://sao.dolgi.msk.ru/account/1404189385/", 1404189385)</f>
        <v>1404189385</v>
      </c>
      <c r="D9091">
        <v>0</v>
      </c>
    </row>
    <row r="9092" spans="1:4" hidden="1" x14ac:dyDescent="0.25">
      <c r="A9092" t="s">
        <v>691</v>
      </c>
      <c r="B9092" t="s">
        <v>112</v>
      </c>
      <c r="C9092" s="2">
        <f>HYPERLINK("https://sao.dolgi.msk.ru/account/1404189393/", 1404189393)</f>
        <v>1404189393</v>
      </c>
      <c r="D9092">
        <v>-4924.88</v>
      </c>
    </row>
    <row r="9093" spans="1:4" hidden="1" x14ac:dyDescent="0.25">
      <c r="A9093" t="s">
        <v>691</v>
      </c>
      <c r="B9093" t="s">
        <v>113</v>
      </c>
      <c r="C9093" s="2">
        <f>HYPERLINK("https://sao.dolgi.msk.ru/account/1404189932/", 1404189932)</f>
        <v>1404189932</v>
      </c>
      <c r="D9093">
        <v>-8123.67</v>
      </c>
    </row>
    <row r="9094" spans="1:4" hidden="1" x14ac:dyDescent="0.25">
      <c r="A9094" t="s">
        <v>691</v>
      </c>
      <c r="B9094" t="s">
        <v>114</v>
      </c>
      <c r="C9094" s="2">
        <f>HYPERLINK("https://sao.dolgi.msk.ru/account/1404189959/", 1404189959)</f>
        <v>1404189959</v>
      </c>
      <c r="D9094">
        <v>-6697.65</v>
      </c>
    </row>
    <row r="9095" spans="1:4" hidden="1" x14ac:dyDescent="0.25">
      <c r="A9095" t="s">
        <v>691</v>
      </c>
      <c r="B9095" t="s">
        <v>115</v>
      </c>
      <c r="C9095" s="2">
        <f>HYPERLINK("https://sao.dolgi.msk.ru/account/1404189406/", 1404189406)</f>
        <v>1404189406</v>
      </c>
      <c r="D9095">
        <v>-3785.5</v>
      </c>
    </row>
    <row r="9096" spans="1:4" hidden="1" x14ac:dyDescent="0.25">
      <c r="A9096" t="s">
        <v>691</v>
      </c>
      <c r="B9096" t="s">
        <v>116</v>
      </c>
      <c r="C9096" s="2">
        <f>HYPERLINK("https://sao.dolgi.msk.ru/account/1404190335/", 1404190335)</f>
        <v>1404190335</v>
      </c>
      <c r="D9096">
        <v>-7133.02</v>
      </c>
    </row>
    <row r="9097" spans="1:4" hidden="1" x14ac:dyDescent="0.25">
      <c r="A9097" t="s">
        <v>691</v>
      </c>
      <c r="B9097" t="s">
        <v>117</v>
      </c>
      <c r="C9097" s="2">
        <f>HYPERLINK("https://sao.dolgi.msk.ru/account/1404189588/", 1404189588)</f>
        <v>1404189588</v>
      </c>
      <c r="D9097">
        <v>-18.29</v>
      </c>
    </row>
    <row r="9098" spans="1:4" hidden="1" x14ac:dyDescent="0.25">
      <c r="A9098" t="s">
        <v>691</v>
      </c>
      <c r="B9098" t="s">
        <v>118</v>
      </c>
      <c r="C9098" s="2">
        <f>HYPERLINK("https://sao.dolgi.msk.ru/account/1404189131/", 1404189131)</f>
        <v>1404189131</v>
      </c>
      <c r="D9098">
        <v>-1497.52</v>
      </c>
    </row>
    <row r="9099" spans="1:4" hidden="1" x14ac:dyDescent="0.25">
      <c r="A9099" t="s">
        <v>691</v>
      </c>
      <c r="B9099" t="s">
        <v>118</v>
      </c>
      <c r="C9099" s="2">
        <f>HYPERLINK("https://sao.dolgi.msk.ru/account/1404189772/", 1404189772)</f>
        <v>1404189772</v>
      </c>
      <c r="D9099">
        <v>-1795.89</v>
      </c>
    </row>
    <row r="9100" spans="1:4" hidden="1" x14ac:dyDescent="0.25">
      <c r="A9100" t="s">
        <v>691</v>
      </c>
      <c r="B9100" t="s">
        <v>119</v>
      </c>
      <c r="C9100" s="2">
        <f>HYPERLINK("https://sao.dolgi.msk.ru/account/1404189596/", 1404189596)</f>
        <v>1404189596</v>
      </c>
      <c r="D9100">
        <v>-3474.96</v>
      </c>
    </row>
    <row r="9101" spans="1:4" hidden="1" x14ac:dyDescent="0.25">
      <c r="A9101" t="s">
        <v>691</v>
      </c>
      <c r="B9101" t="s">
        <v>120</v>
      </c>
      <c r="C9101" s="2">
        <f>HYPERLINK("https://sao.dolgi.msk.ru/account/1404190343/", 1404190343)</f>
        <v>1404190343</v>
      </c>
      <c r="D9101">
        <v>-5222.12</v>
      </c>
    </row>
    <row r="9102" spans="1:4" hidden="1" x14ac:dyDescent="0.25">
      <c r="A9102" t="s">
        <v>691</v>
      </c>
      <c r="B9102" t="s">
        <v>121</v>
      </c>
      <c r="C9102" s="2">
        <f>HYPERLINK("https://sao.dolgi.msk.ru/account/1404189609/", 1404189609)</f>
        <v>1404189609</v>
      </c>
      <c r="D9102">
        <v>-6546.99</v>
      </c>
    </row>
    <row r="9103" spans="1:4" hidden="1" x14ac:dyDescent="0.25">
      <c r="A9103" t="s">
        <v>691</v>
      </c>
      <c r="B9103" t="s">
        <v>122</v>
      </c>
      <c r="C9103" s="2">
        <f>HYPERLINK("https://sao.dolgi.msk.ru/account/1404188948/", 1404188948)</f>
        <v>1404188948</v>
      </c>
      <c r="D9103">
        <v>-3509.98</v>
      </c>
    </row>
    <row r="9104" spans="1:4" hidden="1" x14ac:dyDescent="0.25">
      <c r="A9104" t="s">
        <v>691</v>
      </c>
      <c r="B9104" t="s">
        <v>123</v>
      </c>
      <c r="C9104" s="2">
        <f>HYPERLINK("https://sao.dolgi.msk.ru/account/1404189799/", 1404189799)</f>
        <v>1404189799</v>
      </c>
      <c r="D9104">
        <v>-4931.62</v>
      </c>
    </row>
    <row r="9105" spans="1:4" hidden="1" x14ac:dyDescent="0.25">
      <c r="A9105" t="s">
        <v>691</v>
      </c>
      <c r="B9105" t="s">
        <v>124</v>
      </c>
      <c r="C9105" s="2">
        <f>HYPERLINK("https://sao.dolgi.msk.ru/account/1404189449/", 1404189449)</f>
        <v>1404189449</v>
      </c>
      <c r="D9105">
        <v>-2964.01</v>
      </c>
    </row>
    <row r="9106" spans="1:4" hidden="1" x14ac:dyDescent="0.25">
      <c r="A9106" t="s">
        <v>691</v>
      </c>
      <c r="B9106" t="s">
        <v>124</v>
      </c>
      <c r="C9106" s="2">
        <f>HYPERLINK("https://sao.dolgi.msk.ru/account/1404189617/", 1404189617)</f>
        <v>1404189617</v>
      </c>
      <c r="D9106">
        <v>-4137.8</v>
      </c>
    </row>
    <row r="9107" spans="1:4" hidden="1" x14ac:dyDescent="0.25">
      <c r="A9107" t="s">
        <v>691</v>
      </c>
      <c r="B9107" t="s">
        <v>125</v>
      </c>
      <c r="C9107" s="2">
        <f>HYPERLINK("https://sao.dolgi.msk.ru/account/1404189414/", 1404189414)</f>
        <v>1404189414</v>
      </c>
      <c r="D9107">
        <v>0</v>
      </c>
    </row>
    <row r="9108" spans="1:4" hidden="1" x14ac:dyDescent="0.25">
      <c r="A9108" t="s">
        <v>691</v>
      </c>
      <c r="B9108" t="s">
        <v>126</v>
      </c>
      <c r="C9108" s="2">
        <f>HYPERLINK("https://sao.dolgi.msk.ru/account/1404189246/", 1404189246)</f>
        <v>1404189246</v>
      </c>
      <c r="D9108">
        <v>-4231.6899999999996</v>
      </c>
    </row>
    <row r="9109" spans="1:4" hidden="1" x14ac:dyDescent="0.25">
      <c r="A9109" t="s">
        <v>691</v>
      </c>
      <c r="B9109" t="s">
        <v>127</v>
      </c>
      <c r="C9109" s="2">
        <f>HYPERLINK("https://sao.dolgi.msk.ru/account/1404190351/", 1404190351)</f>
        <v>1404190351</v>
      </c>
      <c r="D9109">
        <v>-8277.5400000000009</v>
      </c>
    </row>
    <row r="9110" spans="1:4" hidden="1" x14ac:dyDescent="0.25">
      <c r="A9110" t="s">
        <v>691</v>
      </c>
      <c r="B9110" t="s">
        <v>128</v>
      </c>
      <c r="C9110" s="2">
        <f>HYPERLINK("https://sao.dolgi.msk.ru/account/1404189158/", 1404189158)</f>
        <v>1404189158</v>
      </c>
      <c r="D9110">
        <v>0</v>
      </c>
    </row>
    <row r="9111" spans="1:4" hidden="1" x14ac:dyDescent="0.25">
      <c r="A9111" t="s">
        <v>691</v>
      </c>
      <c r="B9111" t="s">
        <v>129</v>
      </c>
      <c r="C9111" s="2">
        <f>HYPERLINK("https://sao.dolgi.msk.ru/account/1404190378/", 1404190378)</f>
        <v>1404190378</v>
      </c>
      <c r="D9111">
        <v>0</v>
      </c>
    </row>
    <row r="9112" spans="1:4" x14ac:dyDescent="0.25">
      <c r="A9112" t="s">
        <v>691</v>
      </c>
      <c r="B9112" t="s">
        <v>130</v>
      </c>
      <c r="C9112" s="2">
        <f>HYPERLINK("https://sao.dolgi.msk.ru/account/1404190001/", 1404190001)</f>
        <v>1404190001</v>
      </c>
      <c r="D9112">
        <v>21570.54</v>
      </c>
    </row>
    <row r="9113" spans="1:4" hidden="1" x14ac:dyDescent="0.25">
      <c r="A9113" t="s">
        <v>691</v>
      </c>
      <c r="B9113" t="s">
        <v>131</v>
      </c>
      <c r="C9113" s="2">
        <f>HYPERLINK("https://sao.dolgi.msk.ru/account/1404189465/", 1404189465)</f>
        <v>1404189465</v>
      </c>
      <c r="D9113">
        <v>-5026.95</v>
      </c>
    </row>
    <row r="9114" spans="1:4" hidden="1" x14ac:dyDescent="0.25">
      <c r="A9114" t="s">
        <v>691</v>
      </c>
      <c r="B9114" t="s">
        <v>132</v>
      </c>
      <c r="C9114" s="2">
        <f>HYPERLINK("https://sao.dolgi.msk.ru/account/1404189844/", 1404189844)</f>
        <v>1404189844</v>
      </c>
      <c r="D9114">
        <v>-9929.25</v>
      </c>
    </row>
    <row r="9115" spans="1:4" x14ac:dyDescent="0.25">
      <c r="A9115" t="s">
        <v>692</v>
      </c>
      <c r="B9115" t="s">
        <v>5</v>
      </c>
      <c r="C9115" s="2">
        <f>HYPERLINK("https://sao.dolgi.msk.ru/account/1404191717/", 1404191717)</f>
        <v>1404191717</v>
      </c>
      <c r="D9115">
        <v>28836.23</v>
      </c>
    </row>
    <row r="9116" spans="1:4" hidden="1" x14ac:dyDescent="0.25">
      <c r="A9116" t="s">
        <v>692</v>
      </c>
      <c r="B9116" t="s">
        <v>6</v>
      </c>
      <c r="C9116" s="2">
        <f>HYPERLINK("https://sao.dolgi.msk.ru/account/1404191768/", 1404191768)</f>
        <v>1404191768</v>
      </c>
      <c r="D9116">
        <v>0</v>
      </c>
    </row>
    <row r="9117" spans="1:4" hidden="1" x14ac:dyDescent="0.25">
      <c r="A9117" t="s">
        <v>692</v>
      </c>
      <c r="B9117" t="s">
        <v>7</v>
      </c>
      <c r="C9117" s="2">
        <f>HYPERLINK("https://sao.dolgi.msk.ru/account/1404191506/", 1404191506)</f>
        <v>1404191506</v>
      </c>
      <c r="D9117">
        <v>-3058.96</v>
      </c>
    </row>
    <row r="9118" spans="1:4" hidden="1" x14ac:dyDescent="0.25">
      <c r="A9118" t="s">
        <v>692</v>
      </c>
      <c r="B9118" t="s">
        <v>8</v>
      </c>
      <c r="C9118" s="2">
        <f>HYPERLINK("https://sao.dolgi.msk.ru/account/1404191311/", 1404191311)</f>
        <v>1404191311</v>
      </c>
      <c r="D9118">
        <v>-5208.95</v>
      </c>
    </row>
    <row r="9119" spans="1:4" x14ac:dyDescent="0.25">
      <c r="A9119" t="s">
        <v>692</v>
      </c>
      <c r="B9119" t="s">
        <v>9</v>
      </c>
      <c r="C9119" s="2">
        <f>HYPERLINK("https://sao.dolgi.msk.ru/account/1404191485/", 1404191485)</f>
        <v>1404191485</v>
      </c>
      <c r="D9119">
        <v>12192.2</v>
      </c>
    </row>
    <row r="9120" spans="1:4" hidden="1" x14ac:dyDescent="0.25">
      <c r="A9120" t="s">
        <v>692</v>
      </c>
      <c r="B9120" t="s">
        <v>10</v>
      </c>
      <c r="C9120" s="2">
        <f>HYPERLINK("https://sao.dolgi.msk.ru/account/1404190618/", 1404190618)</f>
        <v>1404190618</v>
      </c>
      <c r="D9120">
        <v>-1070.9100000000001</v>
      </c>
    </row>
    <row r="9121" spans="1:4" hidden="1" x14ac:dyDescent="0.25">
      <c r="A9121" t="s">
        <v>692</v>
      </c>
      <c r="B9121" t="s">
        <v>10</v>
      </c>
      <c r="C9121" s="2">
        <f>HYPERLINK("https://sao.dolgi.msk.ru/account/1404190829/", 1404190829)</f>
        <v>1404190829</v>
      </c>
      <c r="D9121">
        <v>-1733.33</v>
      </c>
    </row>
    <row r="9122" spans="1:4" hidden="1" x14ac:dyDescent="0.25">
      <c r="A9122" t="s">
        <v>692</v>
      </c>
      <c r="B9122" t="s">
        <v>11</v>
      </c>
      <c r="C9122" s="2">
        <f>HYPERLINK("https://sao.dolgi.msk.ru/account/1404190765/", 1404190765)</f>
        <v>1404190765</v>
      </c>
      <c r="D9122">
        <v>-4556.3100000000004</v>
      </c>
    </row>
    <row r="9123" spans="1:4" hidden="1" x14ac:dyDescent="0.25">
      <c r="A9123" t="s">
        <v>692</v>
      </c>
      <c r="B9123" t="s">
        <v>12</v>
      </c>
      <c r="C9123" s="2">
        <f>HYPERLINK("https://sao.dolgi.msk.ru/account/1404191469/", 1404191469)</f>
        <v>1404191469</v>
      </c>
      <c r="D9123">
        <v>-5378.31</v>
      </c>
    </row>
    <row r="9124" spans="1:4" hidden="1" x14ac:dyDescent="0.25">
      <c r="A9124" t="s">
        <v>692</v>
      </c>
      <c r="B9124" t="s">
        <v>13</v>
      </c>
      <c r="C9124" s="2">
        <f>HYPERLINK("https://sao.dolgi.msk.ru/account/1404191696/", 1404191696)</f>
        <v>1404191696</v>
      </c>
      <c r="D9124">
        <v>-6257.37</v>
      </c>
    </row>
    <row r="9125" spans="1:4" hidden="1" x14ac:dyDescent="0.25">
      <c r="A9125" t="s">
        <v>692</v>
      </c>
      <c r="B9125" t="s">
        <v>14</v>
      </c>
      <c r="C9125" s="2">
        <f>HYPERLINK("https://sao.dolgi.msk.ru/account/1404190554/", 1404190554)</f>
        <v>1404190554</v>
      </c>
      <c r="D9125">
        <v>-5108.74</v>
      </c>
    </row>
    <row r="9126" spans="1:4" hidden="1" x14ac:dyDescent="0.25">
      <c r="A9126" t="s">
        <v>692</v>
      </c>
      <c r="B9126" t="s">
        <v>15</v>
      </c>
      <c r="C9126" s="2">
        <f>HYPERLINK("https://sao.dolgi.msk.ru/account/1404191741/", 1404191741)</f>
        <v>1404191741</v>
      </c>
      <c r="D9126">
        <v>-9654</v>
      </c>
    </row>
    <row r="9127" spans="1:4" hidden="1" x14ac:dyDescent="0.25">
      <c r="A9127" t="s">
        <v>692</v>
      </c>
      <c r="B9127" t="s">
        <v>16</v>
      </c>
      <c r="C9127" s="2">
        <f>HYPERLINK("https://sao.dolgi.msk.ru/account/1404191039/", 1404191039)</f>
        <v>1404191039</v>
      </c>
      <c r="D9127">
        <v>0</v>
      </c>
    </row>
    <row r="9128" spans="1:4" hidden="1" x14ac:dyDescent="0.25">
      <c r="A9128" t="s">
        <v>692</v>
      </c>
      <c r="B9128" t="s">
        <v>17</v>
      </c>
      <c r="C9128" s="2">
        <f>HYPERLINK("https://sao.dolgi.msk.ru/account/1404191282/", 1404191282)</f>
        <v>1404191282</v>
      </c>
      <c r="D9128">
        <v>0</v>
      </c>
    </row>
    <row r="9129" spans="1:4" hidden="1" x14ac:dyDescent="0.25">
      <c r="A9129" t="s">
        <v>692</v>
      </c>
      <c r="B9129" t="s">
        <v>18</v>
      </c>
      <c r="C9129" s="2">
        <f>HYPERLINK("https://sao.dolgi.msk.ru/account/1404191602/", 1404191602)</f>
        <v>1404191602</v>
      </c>
      <c r="D9129">
        <v>0</v>
      </c>
    </row>
    <row r="9130" spans="1:4" hidden="1" x14ac:dyDescent="0.25">
      <c r="A9130" t="s">
        <v>692</v>
      </c>
      <c r="B9130" t="s">
        <v>19</v>
      </c>
      <c r="C9130" s="2">
        <f>HYPERLINK("https://sao.dolgi.msk.ru/account/1404191821/", 1404191821)</f>
        <v>1404191821</v>
      </c>
      <c r="D9130">
        <v>-3861.2</v>
      </c>
    </row>
    <row r="9131" spans="1:4" hidden="1" x14ac:dyDescent="0.25">
      <c r="A9131" t="s">
        <v>692</v>
      </c>
      <c r="B9131" t="s">
        <v>20</v>
      </c>
      <c r="C9131" s="2">
        <f>HYPERLINK("https://sao.dolgi.msk.ru/account/1404190853/", 1404190853)</f>
        <v>1404190853</v>
      </c>
      <c r="D9131">
        <v>-2800.36</v>
      </c>
    </row>
    <row r="9132" spans="1:4" hidden="1" x14ac:dyDescent="0.25">
      <c r="A9132" t="s">
        <v>692</v>
      </c>
      <c r="B9132" t="s">
        <v>21</v>
      </c>
      <c r="C9132" s="2">
        <f>HYPERLINK("https://sao.dolgi.msk.ru/account/1404192031/", 1404192031)</f>
        <v>1404192031</v>
      </c>
      <c r="D9132">
        <v>-6072.7</v>
      </c>
    </row>
    <row r="9133" spans="1:4" hidden="1" x14ac:dyDescent="0.25">
      <c r="A9133" t="s">
        <v>692</v>
      </c>
      <c r="B9133" t="s">
        <v>22</v>
      </c>
      <c r="C9133" s="2">
        <f>HYPERLINK("https://sao.dolgi.msk.ru/account/1404191426/", 1404191426)</f>
        <v>1404191426</v>
      </c>
      <c r="D9133">
        <v>0</v>
      </c>
    </row>
    <row r="9134" spans="1:4" x14ac:dyDescent="0.25">
      <c r="A9134" t="s">
        <v>692</v>
      </c>
      <c r="B9134" t="s">
        <v>23</v>
      </c>
      <c r="C9134" s="2">
        <f>HYPERLINK("https://sao.dolgi.msk.ru/account/1404191012/", 1404191012)</f>
        <v>1404191012</v>
      </c>
      <c r="D9134">
        <v>60295.57</v>
      </c>
    </row>
    <row r="9135" spans="1:4" hidden="1" x14ac:dyDescent="0.25">
      <c r="A9135" t="s">
        <v>692</v>
      </c>
      <c r="B9135" t="s">
        <v>24</v>
      </c>
      <c r="C9135" s="2">
        <f>HYPERLINK("https://sao.dolgi.msk.ru/account/1404190781/", 1404190781)</f>
        <v>1404190781</v>
      </c>
      <c r="D9135">
        <v>0</v>
      </c>
    </row>
    <row r="9136" spans="1:4" x14ac:dyDescent="0.25">
      <c r="A9136" t="s">
        <v>692</v>
      </c>
      <c r="B9136" t="s">
        <v>25</v>
      </c>
      <c r="C9136" s="2">
        <f>HYPERLINK("https://sao.dolgi.msk.ru/account/1404191557/", 1404191557)</f>
        <v>1404191557</v>
      </c>
      <c r="D9136">
        <v>36815.01</v>
      </c>
    </row>
    <row r="9137" spans="1:4" hidden="1" x14ac:dyDescent="0.25">
      <c r="A9137" t="s">
        <v>692</v>
      </c>
      <c r="B9137" t="s">
        <v>26</v>
      </c>
      <c r="C9137" s="2">
        <f>HYPERLINK("https://sao.dolgi.msk.ru/account/1404191565/", 1404191565)</f>
        <v>1404191565</v>
      </c>
      <c r="D9137">
        <v>-3569.4</v>
      </c>
    </row>
    <row r="9138" spans="1:4" hidden="1" x14ac:dyDescent="0.25">
      <c r="A9138" t="s">
        <v>692</v>
      </c>
      <c r="B9138" t="s">
        <v>27</v>
      </c>
      <c r="C9138" s="2">
        <f>HYPERLINK("https://sao.dolgi.msk.ru/account/1404190802/", 1404190802)</f>
        <v>1404190802</v>
      </c>
      <c r="D9138">
        <v>0</v>
      </c>
    </row>
    <row r="9139" spans="1:4" hidden="1" x14ac:dyDescent="0.25">
      <c r="A9139" t="s">
        <v>692</v>
      </c>
      <c r="B9139" t="s">
        <v>28</v>
      </c>
      <c r="C9139" s="2">
        <f>HYPERLINK("https://sao.dolgi.msk.ru/account/1404190706/", 1404190706)</f>
        <v>1404190706</v>
      </c>
      <c r="D9139">
        <v>-3283.91</v>
      </c>
    </row>
    <row r="9140" spans="1:4" hidden="1" x14ac:dyDescent="0.25">
      <c r="A9140" t="s">
        <v>692</v>
      </c>
      <c r="B9140" t="s">
        <v>29</v>
      </c>
      <c r="C9140" s="2">
        <f>HYPERLINK("https://sao.dolgi.msk.ru/account/1404191573/", 1404191573)</f>
        <v>1404191573</v>
      </c>
      <c r="D9140">
        <v>-3263.53</v>
      </c>
    </row>
    <row r="9141" spans="1:4" hidden="1" x14ac:dyDescent="0.25">
      <c r="A9141" t="s">
        <v>692</v>
      </c>
      <c r="B9141" t="s">
        <v>30</v>
      </c>
      <c r="C9141" s="2">
        <f>HYPERLINK("https://sao.dolgi.msk.ru/account/1404190749/", 1404190749)</f>
        <v>1404190749</v>
      </c>
      <c r="D9141">
        <v>-7059.61</v>
      </c>
    </row>
    <row r="9142" spans="1:4" hidden="1" x14ac:dyDescent="0.25">
      <c r="A9142" t="s">
        <v>692</v>
      </c>
      <c r="B9142" t="s">
        <v>31</v>
      </c>
      <c r="C9142" s="2">
        <f>HYPERLINK("https://sao.dolgi.msk.ru/account/1404190546/", 1404190546)</f>
        <v>1404190546</v>
      </c>
      <c r="D9142">
        <v>-9800.41</v>
      </c>
    </row>
    <row r="9143" spans="1:4" hidden="1" x14ac:dyDescent="0.25">
      <c r="A9143" t="s">
        <v>692</v>
      </c>
      <c r="B9143" t="s">
        <v>32</v>
      </c>
      <c r="C9143" s="2">
        <f>HYPERLINK("https://sao.dolgi.msk.ru/account/1404191207/", 1404191207)</f>
        <v>1404191207</v>
      </c>
      <c r="D9143">
        <v>-3518.27</v>
      </c>
    </row>
    <row r="9144" spans="1:4" hidden="1" x14ac:dyDescent="0.25">
      <c r="A9144" t="s">
        <v>692</v>
      </c>
      <c r="B9144" t="s">
        <v>33</v>
      </c>
      <c r="C9144" s="2">
        <f>HYPERLINK("https://sao.dolgi.msk.ru/account/1404191354/", 1404191354)</f>
        <v>1404191354</v>
      </c>
      <c r="D9144">
        <v>-2594.5500000000002</v>
      </c>
    </row>
    <row r="9145" spans="1:4" hidden="1" x14ac:dyDescent="0.25">
      <c r="A9145" t="s">
        <v>692</v>
      </c>
      <c r="B9145" t="s">
        <v>34</v>
      </c>
      <c r="C9145" s="2">
        <f>HYPERLINK("https://sao.dolgi.msk.ru/account/1404191872/", 1404191872)</f>
        <v>1404191872</v>
      </c>
      <c r="D9145">
        <v>-4814.95</v>
      </c>
    </row>
    <row r="9146" spans="1:4" hidden="1" x14ac:dyDescent="0.25">
      <c r="A9146" t="s">
        <v>692</v>
      </c>
      <c r="B9146" t="s">
        <v>35</v>
      </c>
      <c r="C9146" s="2">
        <f>HYPERLINK("https://sao.dolgi.msk.ru/account/1404191899/", 1404191899)</f>
        <v>1404191899</v>
      </c>
      <c r="D9146">
        <v>-4909.1400000000003</v>
      </c>
    </row>
    <row r="9147" spans="1:4" hidden="1" x14ac:dyDescent="0.25">
      <c r="A9147" t="s">
        <v>692</v>
      </c>
      <c r="B9147" t="s">
        <v>36</v>
      </c>
      <c r="C9147" s="2">
        <f>HYPERLINK("https://sao.dolgi.msk.ru/account/1404191098/", 1404191098)</f>
        <v>1404191098</v>
      </c>
      <c r="D9147">
        <v>-3660.95</v>
      </c>
    </row>
    <row r="9148" spans="1:4" hidden="1" x14ac:dyDescent="0.25">
      <c r="A9148" t="s">
        <v>692</v>
      </c>
      <c r="B9148" t="s">
        <v>37</v>
      </c>
      <c r="C9148" s="2">
        <f>HYPERLINK("https://sao.dolgi.msk.ru/account/1404190909/", 1404190909)</f>
        <v>1404190909</v>
      </c>
      <c r="D9148">
        <v>-4512.71</v>
      </c>
    </row>
    <row r="9149" spans="1:4" hidden="1" x14ac:dyDescent="0.25">
      <c r="A9149" t="s">
        <v>692</v>
      </c>
      <c r="B9149" t="s">
        <v>38</v>
      </c>
      <c r="C9149" s="2">
        <f>HYPERLINK("https://sao.dolgi.msk.ru/account/1404191119/", 1404191119)</f>
        <v>1404191119</v>
      </c>
      <c r="D9149">
        <v>-3626.77</v>
      </c>
    </row>
    <row r="9150" spans="1:4" hidden="1" x14ac:dyDescent="0.25">
      <c r="A9150" t="s">
        <v>692</v>
      </c>
      <c r="B9150" t="s">
        <v>39</v>
      </c>
      <c r="C9150" s="2">
        <f>HYPERLINK("https://sao.dolgi.msk.ru/account/1404191127/", 1404191127)</f>
        <v>1404191127</v>
      </c>
      <c r="D9150">
        <v>0</v>
      </c>
    </row>
    <row r="9151" spans="1:4" hidden="1" x14ac:dyDescent="0.25">
      <c r="A9151" t="s">
        <v>692</v>
      </c>
      <c r="B9151" t="s">
        <v>40</v>
      </c>
      <c r="C9151" s="2">
        <f>HYPERLINK("https://sao.dolgi.msk.ru/account/1404190917/", 1404190917)</f>
        <v>1404190917</v>
      </c>
      <c r="D9151">
        <v>0</v>
      </c>
    </row>
    <row r="9152" spans="1:4" hidden="1" x14ac:dyDescent="0.25">
      <c r="A9152" t="s">
        <v>692</v>
      </c>
      <c r="B9152" t="s">
        <v>41</v>
      </c>
      <c r="C9152" s="2">
        <f>HYPERLINK("https://sao.dolgi.msk.ru/account/1404191223/", 1404191223)</f>
        <v>1404191223</v>
      </c>
      <c r="D9152">
        <v>-3812.47</v>
      </c>
    </row>
    <row r="9153" spans="1:4" hidden="1" x14ac:dyDescent="0.25">
      <c r="A9153" t="s">
        <v>692</v>
      </c>
      <c r="B9153" t="s">
        <v>42</v>
      </c>
      <c r="C9153" s="2">
        <f>HYPERLINK("https://sao.dolgi.msk.ru/account/1404190925/", 1404190925)</f>
        <v>1404190925</v>
      </c>
      <c r="D9153">
        <v>-5741.2</v>
      </c>
    </row>
    <row r="9154" spans="1:4" x14ac:dyDescent="0.25">
      <c r="A9154" t="s">
        <v>692</v>
      </c>
      <c r="B9154" t="s">
        <v>43</v>
      </c>
      <c r="C9154" s="2">
        <f>HYPERLINK("https://sao.dolgi.msk.ru/account/1404191135/", 1404191135)</f>
        <v>1404191135</v>
      </c>
      <c r="D9154">
        <v>3854.82</v>
      </c>
    </row>
    <row r="9155" spans="1:4" hidden="1" x14ac:dyDescent="0.25">
      <c r="A9155" t="s">
        <v>692</v>
      </c>
      <c r="B9155" t="s">
        <v>44</v>
      </c>
      <c r="C9155" s="2">
        <f>HYPERLINK("https://sao.dolgi.msk.ru/account/1404191637/", 1404191637)</f>
        <v>1404191637</v>
      </c>
      <c r="D9155">
        <v>0</v>
      </c>
    </row>
    <row r="9156" spans="1:4" hidden="1" x14ac:dyDescent="0.25">
      <c r="A9156" t="s">
        <v>692</v>
      </c>
      <c r="B9156" t="s">
        <v>45</v>
      </c>
      <c r="C9156" s="2">
        <f>HYPERLINK("https://sao.dolgi.msk.ru/account/1404191645/", 1404191645)</f>
        <v>1404191645</v>
      </c>
      <c r="D9156">
        <v>-3139.08</v>
      </c>
    </row>
    <row r="9157" spans="1:4" hidden="1" x14ac:dyDescent="0.25">
      <c r="A9157" t="s">
        <v>692</v>
      </c>
      <c r="B9157" t="s">
        <v>46</v>
      </c>
      <c r="C9157" s="2">
        <f>HYPERLINK("https://sao.dolgi.msk.ru/account/1404191864/", 1404191864)</f>
        <v>1404191864</v>
      </c>
      <c r="D9157">
        <v>-6701.58</v>
      </c>
    </row>
    <row r="9158" spans="1:4" hidden="1" x14ac:dyDescent="0.25">
      <c r="A9158" t="s">
        <v>692</v>
      </c>
      <c r="B9158" t="s">
        <v>47</v>
      </c>
      <c r="C9158" s="2">
        <f>HYPERLINK("https://sao.dolgi.msk.ru/account/1404191143/", 1404191143)</f>
        <v>1404191143</v>
      </c>
      <c r="D9158">
        <v>-6165.79</v>
      </c>
    </row>
    <row r="9159" spans="1:4" hidden="1" x14ac:dyDescent="0.25">
      <c r="A9159" t="s">
        <v>692</v>
      </c>
      <c r="B9159" t="s">
        <v>48</v>
      </c>
      <c r="C9159" s="2">
        <f>HYPERLINK("https://sao.dolgi.msk.ru/account/1404190714/", 1404190714)</f>
        <v>1404190714</v>
      </c>
      <c r="D9159">
        <v>0</v>
      </c>
    </row>
    <row r="9160" spans="1:4" hidden="1" x14ac:dyDescent="0.25">
      <c r="A9160" t="s">
        <v>692</v>
      </c>
      <c r="B9160" t="s">
        <v>49</v>
      </c>
      <c r="C9160" s="2">
        <f>HYPERLINK("https://sao.dolgi.msk.ru/account/1404191151/", 1404191151)</f>
        <v>1404191151</v>
      </c>
      <c r="D9160">
        <v>0</v>
      </c>
    </row>
    <row r="9161" spans="1:4" hidden="1" x14ac:dyDescent="0.25">
      <c r="A9161" t="s">
        <v>692</v>
      </c>
      <c r="B9161" t="s">
        <v>50</v>
      </c>
      <c r="C9161" s="2">
        <f>HYPERLINK("https://sao.dolgi.msk.ru/account/1404191178/", 1404191178)</f>
        <v>1404191178</v>
      </c>
      <c r="D9161">
        <v>-7073.26</v>
      </c>
    </row>
    <row r="9162" spans="1:4" x14ac:dyDescent="0.25">
      <c r="A9162" t="s">
        <v>692</v>
      </c>
      <c r="B9162" t="s">
        <v>51</v>
      </c>
      <c r="C9162" s="2">
        <f>HYPERLINK("https://sao.dolgi.msk.ru/account/1404191338/", 1404191338)</f>
        <v>1404191338</v>
      </c>
      <c r="D9162">
        <v>8390.1</v>
      </c>
    </row>
    <row r="9163" spans="1:4" hidden="1" x14ac:dyDescent="0.25">
      <c r="A9163" t="s">
        <v>692</v>
      </c>
      <c r="B9163" t="s">
        <v>52</v>
      </c>
      <c r="C9163" s="2">
        <f>HYPERLINK("https://sao.dolgi.msk.ru/account/1404191653/", 1404191653)</f>
        <v>1404191653</v>
      </c>
      <c r="D9163">
        <v>-3791.34</v>
      </c>
    </row>
    <row r="9164" spans="1:4" x14ac:dyDescent="0.25">
      <c r="A9164" t="s">
        <v>692</v>
      </c>
      <c r="B9164" t="s">
        <v>53</v>
      </c>
      <c r="C9164" s="2">
        <f>HYPERLINK("https://sao.dolgi.msk.ru/account/1404190933/", 1404190933)</f>
        <v>1404190933</v>
      </c>
      <c r="D9164">
        <v>1378.62</v>
      </c>
    </row>
    <row r="9165" spans="1:4" x14ac:dyDescent="0.25">
      <c r="A9165" t="s">
        <v>692</v>
      </c>
      <c r="B9165" t="s">
        <v>54</v>
      </c>
      <c r="C9165" s="2">
        <f>HYPERLINK("https://sao.dolgi.msk.ru/account/1404191661/", 1404191661)</f>
        <v>1404191661</v>
      </c>
      <c r="D9165">
        <v>111602.82</v>
      </c>
    </row>
    <row r="9166" spans="1:4" x14ac:dyDescent="0.25">
      <c r="A9166" t="s">
        <v>692</v>
      </c>
      <c r="B9166" t="s">
        <v>55</v>
      </c>
      <c r="C9166" s="2">
        <f>HYPERLINK("https://sao.dolgi.msk.ru/account/1404191186/", 1404191186)</f>
        <v>1404191186</v>
      </c>
      <c r="D9166">
        <v>20043.68</v>
      </c>
    </row>
    <row r="9167" spans="1:4" hidden="1" x14ac:dyDescent="0.25">
      <c r="A9167" t="s">
        <v>692</v>
      </c>
      <c r="B9167" t="s">
        <v>56</v>
      </c>
      <c r="C9167" s="2">
        <f>HYPERLINK("https://sao.dolgi.msk.ru/account/1404191194/", 1404191194)</f>
        <v>1404191194</v>
      </c>
      <c r="D9167">
        <v>-6732.61</v>
      </c>
    </row>
    <row r="9168" spans="1:4" hidden="1" x14ac:dyDescent="0.25">
      <c r="A9168" t="s">
        <v>692</v>
      </c>
      <c r="B9168" t="s">
        <v>57</v>
      </c>
      <c r="C9168" s="2">
        <f>HYPERLINK("https://sao.dolgi.msk.ru/account/1404191928/", 1404191928)</f>
        <v>1404191928</v>
      </c>
      <c r="D9168">
        <v>-4369.3100000000004</v>
      </c>
    </row>
    <row r="9169" spans="1:4" hidden="1" x14ac:dyDescent="0.25">
      <c r="A9169" t="s">
        <v>692</v>
      </c>
      <c r="B9169" t="s">
        <v>58</v>
      </c>
      <c r="C9169" s="2">
        <f>HYPERLINK("https://sao.dolgi.msk.ru/account/1404190562/", 1404190562)</f>
        <v>1404190562</v>
      </c>
      <c r="D9169">
        <v>-3876.84</v>
      </c>
    </row>
    <row r="9170" spans="1:4" x14ac:dyDescent="0.25">
      <c r="A9170" t="s">
        <v>692</v>
      </c>
      <c r="B9170" t="s">
        <v>59</v>
      </c>
      <c r="C9170" s="2">
        <f>HYPERLINK("https://sao.dolgi.msk.ru/account/1404190984/", 1404190984)</f>
        <v>1404190984</v>
      </c>
      <c r="D9170">
        <v>18661.560000000001</v>
      </c>
    </row>
    <row r="9171" spans="1:4" hidden="1" x14ac:dyDescent="0.25">
      <c r="A9171" t="s">
        <v>692</v>
      </c>
      <c r="B9171" t="s">
        <v>60</v>
      </c>
      <c r="C9171" s="2">
        <f>HYPERLINK("https://sao.dolgi.msk.ru/account/1404191362/", 1404191362)</f>
        <v>1404191362</v>
      </c>
      <c r="D9171">
        <v>0</v>
      </c>
    </row>
    <row r="9172" spans="1:4" hidden="1" x14ac:dyDescent="0.25">
      <c r="A9172" t="s">
        <v>692</v>
      </c>
      <c r="B9172" t="s">
        <v>61</v>
      </c>
      <c r="C9172" s="2">
        <f>HYPERLINK("https://sao.dolgi.msk.ru/account/1404190589/", 1404190589)</f>
        <v>1404190589</v>
      </c>
      <c r="D9172">
        <v>-3804.51</v>
      </c>
    </row>
    <row r="9173" spans="1:4" hidden="1" x14ac:dyDescent="0.25">
      <c r="A9173" t="s">
        <v>692</v>
      </c>
      <c r="B9173" t="s">
        <v>62</v>
      </c>
      <c r="C9173" s="2">
        <f>HYPERLINK("https://sao.dolgi.msk.ru/account/1404191389/", 1404191389)</f>
        <v>1404191389</v>
      </c>
      <c r="D9173">
        <v>-6710.02</v>
      </c>
    </row>
    <row r="9174" spans="1:4" x14ac:dyDescent="0.25">
      <c r="A9174" t="s">
        <v>692</v>
      </c>
      <c r="B9174" t="s">
        <v>63</v>
      </c>
      <c r="C9174" s="2">
        <f>HYPERLINK("https://sao.dolgi.msk.ru/account/1404190597/", 1404190597)</f>
        <v>1404190597</v>
      </c>
      <c r="D9174">
        <v>42079.96</v>
      </c>
    </row>
    <row r="9175" spans="1:4" hidden="1" x14ac:dyDescent="0.25">
      <c r="A9175" t="s">
        <v>692</v>
      </c>
      <c r="B9175" t="s">
        <v>64</v>
      </c>
      <c r="C9175" s="2">
        <f>HYPERLINK("https://sao.dolgi.msk.ru/account/1404191725/", 1404191725)</f>
        <v>1404191725</v>
      </c>
      <c r="D9175">
        <v>0</v>
      </c>
    </row>
    <row r="9176" spans="1:4" hidden="1" x14ac:dyDescent="0.25">
      <c r="A9176" t="s">
        <v>692</v>
      </c>
      <c r="B9176" t="s">
        <v>65</v>
      </c>
      <c r="C9176" s="2">
        <f>HYPERLINK("https://sao.dolgi.msk.ru/account/1404191397/", 1404191397)</f>
        <v>1404191397</v>
      </c>
      <c r="D9176">
        <v>0</v>
      </c>
    </row>
    <row r="9177" spans="1:4" hidden="1" x14ac:dyDescent="0.25">
      <c r="A9177" t="s">
        <v>692</v>
      </c>
      <c r="B9177" t="s">
        <v>66</v>
      </c>
      <c r="C9177" s="2">
        <f>HYPERLINK("https://sao.dolgi.msk.ru/account/1404191231/", 1404191231)</f>
        <v>1404191231</v>
      </c>
      <c r="D9177">
        <v>-12720.84</v>
      </c>
    </row>
    <row r="9178" spans="1:4" hidden="1" x14ac:dyDescent="0.25">
      <c r="A9178" t="s">
        <v>692</v>
      </c>
      <c r="B9178" t="s">
        <v>67</v>
      </c>
      <c r="C9178" s="2">
        <f>HYPERLINK("https://sao.dolgi.msk.ru/account/1404191733/", 1404191733)</f>
        <v>1404191733</v>
      </c>
      <c r="D9178">
        <v>-4908.97</v>
      </c>
    </row>
    <row r="9179" spans="1:4" hidden="1" x14ac:dyDescent="0.25">
      <c r="A9179" t="s">
        <v>692</v>
      </c>
      <c r="B9179" t="s">
        <v>68</v>
      </c>
      <c r="C9179" s="2">
        <f>HYPERLINK("https://sao.dolgi.msk.ru/account/1404190626/", 1404190626)</f>
        <v>1404190626</v>
      </c>
      <c r="D9179">
        <v>-5092.8100000000004</v>
      </c>
    </row>
    <row r="9180" spans="1:4" hidden="1" x14ac:dyDescent="0.25">
      <c r="A9180" t="s">
        <v>692</v>
      </c>
      <c r="B9180" t="s">
        <v>69</v>
      </c>
      <c r="C9180" s="2">
        <f>HYPERLINK("https://sao.dolgi.msk.ru/account/1404191258/", 1404191258)</f>
        <v>1404191258</v>
      </c>
      <c r="D9180">
        <v>0</v>
      </c>
    </row>
    <row r="9181" spans="1:4" hidden="1" x14ac:dyDescent="0.25">
      <c r="A9181" t="s">
        <v>692</v>
      </c>
      <c r="B9181" t="s">
        <v>70</v>
      </c>
      <c r="C9181" s="2">
        <f>HYPERLINK("https://sao.dolgi.msk.ru/account/1404190757/", 1404190757)</f>
        <v>1404190757</v>
      </c>
      <c r="D9181">
        <v>-5784.57</v>
      </c>
    </row>
    <row r="9182" spans="1:4" hidden="1" x14ac:dyDescent="0.25">
      <c r="A9182" t="s">
        <v>692</v>
      </c>
      <c r="B9182" t="s">
        <v>71</v>
      </c>
      <c r="C9182" s="2">
        <f>HYPERLINK("https://sao.dolgi.msk.ru/account/1404190634/", 1404190634)</f>
        <v>1404190634</v>
      </c>
      <c r="D9182">
        <v>-6148.01</v>
      </c>
    </row>
    <row r="9183" spans="1:4" hidden="1" x14ac:dyDescent="0.25">
      <c r="A9183" t="s">
        <v>692</v>
      </c>
      <c r="B9183" t="s">
        <v>72</v>
      </c>
      <c r="C9183" s="2">
        <f>HYPERLINK("https://sao.dolgi.msk.ru/account/1404191936/", 1404191936)</f>
        <v>1404191936</v>
      </c>
      <c r="D9183">
        <v>0</v>
      </c>
    </row>
    <row r="9184" spans="1:4" x14ac:dyDescent="0.25">
      <c r="A9184" t="s">
        <v>692</v>
      </c>
      <c r="B9184" t="s">
        <v>73</v>
      </c>
      <c r="C9184" s="2">
        <f>HYPERLINK("https://sao.dolgi.msk.ru/account/1404191266/", 1404191266)</f>
        <v>1404191266</v>
      </c>
      <c r="D9184">
        <v>4799.5600000000004</v>
      </c>
    </row>
    <row r="9185" spans="1:4" hidden="1" x14ac:dyDescent="0.25">
      <c r="A9185" t="s">
        <v>692</v>
      </c>
      <c r="B9185" t="s">
        <v>74</v>
      </c>
      <c r="C9185" s="2">
        <f>HYPERLINK("https://sao.dolgi.msk.ru/account/1404191944/", 1404191944)</f>
        <v>1404191944</v>
      </c>
      <c r="D9185">
        <v>0</v>
      </c>
    </row>
    <row r="9186" spans="1:4" hidden="1" x14ac:dyDescent="0.25">
      <c r="A9186" t="s">
        <v>692</v>
      </c>
      <c r="B9186" t="s">
        <v>75</v>
      </c>
      <c r="C9186" s="2">
        <f>HYPERLINK("https://sao.dolgi.msk.ru/account/1404191514/", 1404191514)</f>
        <v>1404191514</v>
      </c>
      <c r="D9186">
        <v>-5672.71</v>
      </c>
    </row>
    <row r="9187" spans="1:4" hidden="1" x14ac:dyDescent="0.25">
      <c r="A9187" t="s">
        <v>692</v>
      </c>
      <c r="B9187" t="s">
        <v>76</v>
      </c>
      <c r="C9187" s="2">
        <f>HYPERLINK("https://sao.dolgi.msk.ru/account/1404191952/", 1404191952)</f>
        <v>1404191952</v>
      </c>
      <c r="D9187">
        <v>-4621.28</v>
      </c>
    </row>
    <row r="9188" spans="1:4" hidden="1" x14ac:dyDescent="0.25">
      <c r="A9188" t="s">
        <v>692</v>
      </c>
      <c r="B9188" t="s">
        <v>76</v>
      </c>
      <c r="C9188" s="2">
        <f>HYPERLINK("https://sao.dolgi.msk.ru/account/1404294169/", 1404294169)</f>
        <v>1404294169</v>
      </c>
      <c r="D9188">
        <v>0</v>
      </c>
    </row>
    <row r="9189" spans="1:4" hidden="1" x14ac:dyDescent="0.25">
      <c r="A9189" t="s">
        <v>692</v>
      </c>
      <c r="B9189" t="s">
        <v>77</v>
      </c>
      <c r="C9189" s="2">
        <f>HYPERLINK("https://sao.dolgi.msk.ru/account/1404190642/", 1404190642)</f>
        <v>1404190642</v>
      </c>
      <c r="D9189">
        <v>0</v>
      </c>
    </row>
    <row r="9190" spans="1:4" hidden="1" x14ac:dyDescent="0.25">
      <c r="A9190" t="s">
        <v>692</v>
      </c>
      <c r="B9190" t="s">
        <v>78</v>
      </c>
      <c r="C9190" s="2">
        <f>HYPERLINK("https://sao.dolgi.msk.ru/account/1404190669/", 1404190669)</f>
        <v>1404190669</v>
      </c>
      <c r="D9190">
        <v>-4877.84</v>
      </c>
    </row>
    <row r="9191" spans="1:4" hidden="1" x14ac:dyDescent="0.25">
      <c r="A9191" t="s">
        <v>692</v>
      </c>
      <c r="B9191" t="s">
        <v>79</v>
      </c>
      <c r="C9191" s="2">
        <f>HYPERLINK("https://sao.dolgi.msk.ru/account/1404191979/", 1404191979)</f>
        <v>1404191979</v>
      </c>
      <c r="D9191">
        <v>0</v>
      </c>
    </row>
    <row r="9192" spans="1:4" hidden="1" x14ac:dyDescent="0.25">
      <c r="A9192" t="s">
        <v>692</v>
      </c>
      <c r="B9192" t="s">
        <v>80</v>
      </c>
      <c r="C9192" s="2">
        <f>HYPERLINK("https://sao.dolgi.msk.ru/account/1404190466/", 1404190466)</f>
        <v>1404190466</v>
      </c>
      <c r="D9192">
        <v>-17596.189999999999</v>
      </c>
    </row>
    <row r="9193" spans="1:4" hidden="1" x14ac:dyDescent="0.25">
      <c r="A9193" t="s">
        <v>692</v>
      </c>
      <c r="B9193" t="s">
        <v>80</v>
      </c>
      <c r="C9193" s="2">
        <f>HYPERLINK("https://sao.dolgi.msk.ru/account/1404191901/", 1404191901)</f>
        <v>1404191901</v>
      </c>
      <c r="D9193">
        <v>-2016.53</v>
      </c>
    </row>
    <row r="9194" spans="1:4" x14ac:dyDescent="0.25">
      <c r="A9194" t="s">
        <v>692</v>
      </c>
      <c r="B9194" t="s">
        <v>81</v>
      </c>
      <c r="C9194" s="2">
        <f>HYPERLINK("https://sao.dolgi.msk.ru/account/1404190861/", 1404190861)</f>
        <v>1404190861</v>
      </c>
      <c r="D9194">
        <v>24046.92</v>
      </c>
    </row>
    <row r="9195" spans="1:4" hidden="1" x14ac:dyDescent="0.25">
      <c r="A9195" t="s">
        <v>692</v>
      </c>
      <c r="B9195" t="s">
        <v>82</v>
      </c>
      <c r="C9195" s="2">
        <f>HYPERLINK("https://sao.dolgi.msk.ru/account/1404191629/", 1404191629)</f>
        <v>1404191629</v>
      </c>
      <c r="D9195">
        <v>-4246.45</v>
      </c>
    </row>
    <row r="9196" spans="1:4" hidden="1" x14ac:dyDescent="0.25">
      <c r="A9196" t="s">
        <v>692</v>
      </c>
      <c r="B9196" t="s">
        <v>83</v>
      </c>
      <c r="C9196" s="2">
        <f>HYPERLINK("https://sao.dolgi.msk.ru/account/1404191055/", 1404191055)</f>
        <v>1404191055</v>
      </c>
      <c r="D9196">
        <v>-7602.79</v>
      </c>
    </row>
    <row r="9197" spans="1:4" hidden="1" x14ac:dyDescent="0.25">
      <c r="A9197" t="s">
        <v>692</v>
      </c>
      <c r="B9197" t="s">
        <v>84</v>
      </c>
      <c r="C9197" s="2">
        <f>HYPERLINK("https://sao.dolgi.msk.ru/account/1404191303/", 1404191303)</f>
        <v>1404191303</v>
      </c>
      <c r="D9197">
        <v>-9375.08</v>
      </c>
    </row>
    <row r="9198" spans="1:4" hidden="1" x14ac:dyDescent="0.25">
      <c r="A9198" t="s">
        <v>692</v>
      </c>
      <c r="B9198" t="s">
        <v>85</v>
      </c>
      <c r="C9198" s="2">
        <f>HYPERLINK("https://sao.dolgi.msk.ru/account/1404191848/", 1404191848)</f>
        <v>1404191848</v>
      </c>
      <c r="D9198">
        <v>-5374.07</v>
      </c>
    </row>
    <row r="9199" spans="1:4" hidden="1" x14ac:dyDescent="0.25">
      <c r="A9199" t="s">
        <v>692</v>
      </c>
      <c r="B9199" t="s">
        <v>86</v>
      </c>
      <c r="C9199" s="2">
        <f>HYPERLINK("https://sao.dolgi.msk.ru/account/1404191063/", 1404191063)</f>
        <v>1404191063</v>
      </c>
      <c r="D9199">
        <v>-4654.96</v>
      </c>
    </row>
    <row r="9200" spans="1:4" hidden="1" x14ac:dyDescent="0.25">
      <c r="A9200" t="s">
        <v>692</v>
      </c>
      <c r="B9200" t="s">
        <v>87</v>
      </c>
      <c r="C9200" s="2">
        <f>HYPERLINK("https://sao.dolgi.msk.ru/account/1404191477/", 1404191477)</f>
        <v>1404191477</v>
      </c>
      <c r="D9200">
        <v>-7126.87</v>
      </c>
    </row>
    <row r="9201" spans="1:4" x14ac:dyDescent="0.25">
      <c r="A9201" t="s">
        <v>692</v>
      </c>
      <c r="B9201" t="s">
        <v>88</v>
      </c>
      <c r="C9201" s="2">
        <f>HYPERLINK("https://sao.dolgi.msk.ru/account/1404191071/", 1404191071)</f>
        <v>1404191071</v>
      </c>
      <c r="D9201">
        <v>4843.32</v>
      </c>
    </row>
    <row r="9202" spans="1:4" x14ac:dyDescent="0.25">
      <c r="A9202" t="s">
        <v>692</v>
      </c>
      <c r="B9202" t="s">
        <v>89</v>
      </c>
      <c r="C9202" s="2">
        <f>HYPERLINK("https://sao.dolgi.msk.ru/account/1404190888/", 1404190888)</f>
        <v>1404190888</v>
      </c>
      <c r="D9202">
        <v>8882.5499999999993</v>
      </c>
    </row>
    <row r="9203" spans="1:4" hidden="1" x14ac:dyDescent="0.25">
      <c r="A9203" t="s">
        <v>692</v>
      </c>
      <c r="B9203" t="s">
        <v>90</v>
      </c>
      <c r="C9203" s="2">
        <f>HYPERLINK("https://sao.dolgi.msk.ru/account/1404190474/", 1404190474)</f>
        <v>1404190474</v>
      </c>
      <c r="D9203">
        <v>0</v>
      </c>
    </row>
    <row r="9204" spans="1:4" hidden="1" x14ac:dyDescent="0.25">
      <c r="A9204" t="s">
        <v>692</v>
      </c>
      <c r="B9204" t="s">
        <v>91</v>
      </c>
      <c r="C9204" s="2">
        <f>HYPERLINK("https://sao.dolgi.msk.ru/account/1404190896/", 1404190896)</f>
        <v>1404190896</v>
      </c>
      <c r="D9204">
        <v>-6205.54</v>
      </c>
    </row>
    <row r="9205" spans="1:4" hidden="1" x14ac:dyDescent="0.25">
      <c r="A9205" t="s">
        <v>692</v>
      </c>
      <c r="B9205" t="s">
        <v>92</v>
      </c>
      <c r="C9205" s="2">
        <f>HYPERLINK("https://sao.dolgi.msk.ru/account/1404191856/", 1404191856)</f>
        <v>1404191856</v>
      </c>
      <c r="D9205">
        <v>-5132.32</v>
      </c>
    </row>
    <row r="9206" spans="1:4" hidden="1" x14ac:dyDescent="0.25">
      <c r="A9206" t="s">
        <v>692</v>
      </c>
      <c r="B9206" t="s">
        <v>93</v>
      </c>
      <c r="C9206" s="2">
        <f>HYPERLINK("https://sao.dolgi.msk.ru/account/1404191688/", 1404191688)</f>
        <v>1404191688</v>
      </c>
      <c r="D9206">
        <v>-4535.1099999999997</v>
      </c>
    </row>
    <row r="9207" spans="1:4" hidden="1" x14ac:dyDescent="0.25">
      <c r="A9207" t="s">
        <v>692</v>
      </c>
      <c r="B9207" t="s">
        <v>94</v>
      </c>
      <c r="C9207" s="2">
        <f>HYPERLINK("https://sao.dolgi.msk.ru/account/1404190503/", 1404190503)</f>
        <v>1404190503</v>
      </c>
      <c r="D9207">
        <v>0</v>
      </c>
    </row>
    <row r="9208" spans="1:4" hidden="1" x14ac:dyDescent="0.25">
      <c r="A9208" t="s">
        <v>692</v>
      </c>
      <c r="B9208" t="s">
        <v>95</v>
      </c>
      <c r="C9208" s="2">
        <f>HYPERLINK("https://sao.dolgi.msk.ru/account/1404191522/", 1404191522)</f>
        <v>1404191522</v>
      </c>
      <c r="D9208">
        <v>0</v>
      </c>
    </row>
    <row r="9209" spans="1:4" hidden="1" x14ac:dyDescent="0.25">
      <c r="A9209" t="s">
        <v>692</v>
      </c>
      <c r="B9209" t="s">
        <v>96</v>
      </c>
      <c r="C9209" s="2">
        <f>HYPERLINK("https://sao.dolgi.msk.ru/account/1404190511/", 1404190511)</f>
        <v>1404190511</v>
      </c>
      <c r="D9209">
        <v>0</v>
      </c>
    </row>
    <row r="9210" spans="1:4" hidden="1" x14ac:dyDescent="0.25">
      <c r="A9210" t="s">
        <v>692</v>
      </c>
      <c r="B9210" t="s">
        <v>97</v>
      </c>
      <c r="C9210" s="2">
        <f>HYPERLINK("https://sao.dolgi.msk.ru/account/1404191493/", 1404191493)</f>
        <v>1404191493</v>
      </c>
      <c r="D9210">
        <v>-2979.17</v>
      </c>
    </row>
    <row r="9211" spans="1:4" hidden="1" x14ac:dyDescent="0.25">
      <c r="A9211" t="s">
        <v>692</v>
      </c>
      <c r="B9211" t="s">
        <v>98</v>
      </c>
      <c r="C9211" s="2">
        <f>HYPERLINK("https://sao.dolgi.msk.ru/account/1404191346/", 1404191346)</f>
        <v>1404191346</v>
      </c>
      <c r="D9211">
        <v>-4870.79</v>
      </c>
    </row>
    <row r="9212" spans="1:4" x14ac:dyDescent="0.25">
      <c r="A9212" t="s">
        <v>692</v>
      </c>
      <c r="B9212" t="s">
        <v>99</v>
      </c>
      <c r="C9212" s="2">
        <f>HYPERLINK("https://sao.dolgi.msk.ru/account/1404190538/", 1404190538)</f>
        <v>1404190538</v>
      </c>
      <c r="D9212">
        <v>3974.14</v>
      </c>
    </row>
    <row r="9213" spans="1:4" hidden="1" x14ac:dyDescent="0.25">
      <c r="A9213" t="s">
        <v>692</v>
      </c>
      <c r="B9213" t="s">
        <v>100</v>
      </c>
      <c r="C9213" s="2">
        <f>HYPERLINK("https://sao.dolgi.msk.ru/account/1404190722/", 1404190722)</f>
        <v>1404190722</v>
      </c>
      <c r="D9213">
        <v>0</v>
      </c>
    </row>
    <row r="9214" spans="1:4" hidden="1" x14ac:dyDescent="0.25">
      <c r="A9214" t="s">
        <v>692</v>
      </c>
      <c r="B9214" t="s">
        <v>101</v>
      </c>
      <c r="C9214" s="2">
        <f>HYPERLINK("https://sao.dolgi.msk.ru/account/1404191709/", 1404191709)</f>
        <v>1404191709</v>
      </c>
      <c r="D9214">
        <v>-6383.54</v>
      </c>
    </row>
    <row r="9215" spans="1:4" hidden="1" x14ac:dyDescent="0.25">
      <c r="A9215" t="s">
        <v>692</v>
      </c>
      <c r="B9215" t="s">
        <v>102</v>
      </c>
      <c r="C9215" s="2">
        <f>HYPERLINK("https://sao.dolgi.msk.ru/account/1404190941/", 1404190941)</f>
        <v>1404190941</v>
      </c>
      <c r="D9215">
        <v>-7462.4</v>
      </c>
    </row>
    <row r="9216" spans="1:4" x14ac:dyDescent="0.25">
      <c r="A9216" t="s">
        <v>692</v>
      </c>
      <c r="B9216" t="s">
        <v>103</v>
      </c>
      <c r="C9216" s="2">
        <f>HYPERLINK("https://sao.dolgi.msk.ru/account/1404190968/", 1404190968)</f>
        <v>1404190968</v>
      </c>
      <c r="D9216">
        <v>11972.02</v>
      </c>
    </row>
    <row r="9217" spans="1:4" hidden="1" x14ac:dyDescent="0.25">
      <c r="A9217" t="s">
        <v>692</v>
      </c>
      <c r="B9217" t="s">
        <v>104</v>
      </c>
      <c r="C9217" s="2">
        <f>HYPERLINK("https://sao.dolgi.msk.ru/account/1404190976/", 1404190976)</f>
        <v>1404190976</v>
      </c>
      <c r="D9217">
        <v>-4916.33</v>
      </c>
    </row>
    <row r="9218" spans="1:4" hidden="1" x14ac:dyDescent="0.25">
      <c r="A9218" t="s">
        <v>692</v>
      </c>
      <c r="B9218" t="s">
        <v>105</v>
      </c>
      <c r="C9218" s="2">
        <f>HYPERLINK("https://sao.dolgi.msk.ru/account/1404191215/", 1404191215)</f>
        <v>1404191215</v>
      </c>
      <c r="D9218">
        <v>-3077.08</v>
      </c>
    </row>
    <row r="9219" spans="1:4" hidden="1" x14ac:dyDescent="0.25">
      <c r="A9219" t="s">
        <v>692</v>
      </c>
      <c r="B9219" t="s">
        <v>106</v>
      </c>
      <c r="C9219" s="2">
        <f>HYPERLINK("https://sao.dolgi.msk.ru/account/1404191418/", 1404191418)</f>
        <v>1404191418</v>
      </c>
      <c r="D9219">
        <v>-4148.03</v>
      </c>
    </row>
    <row r="9220" spans="1:4" x14ac:dyDescent="0.25">
      <c r="A9220" t="s">
        <v>692</v>
      </c>
      <c r="B9220" t="s">
        <v>107</v>
      </c>
      <c r="C9220" s="2">
        <f>HYPERLINK("https://sao.dolgi.msk.ru/account/1404190482/", 1404190482)</f>
        <v>1404190482</v>
      </c>
      <c r="D9220">
        <v>70771.38</v>
      </c>
    </row>
    <row r="9221" spans="1:4" hidden="1" x14ac:dyDescent="0.25">
      <c r="A9221" t="s">
        <v>692</v>
      </c>
      <c r="B9221" t="s">
        <v>108</v>
      </c>
      <c r="C9221" s="2">
        <f>HYPERLINK("https://sao.dolgi.msk.ru/account/1404191987/", 1404191987)</f>
        <v>1404191987</v>
      </c>
      <c r="D9221">
        <v>-1973.84</v>
      </c>
    </row>
    <row r="9222" spans="1:4" hidden="1" x14ac:dyDescent="0.25">
      <c r="A9222" t="s">
        <v>692</v>
      </c>
      <c r="B9222" t="s">
        <v>109</v>
      </c>
      <c r="C9222" s="2">
        <f>HYPERLINK("https://sao.dolgi.msk.ru/account/1404191581/", 1404191581)</f>
        <v>1404191581</v>
      </c>
      <c r="D9222">
        <v>-25.46</v>
      </c>
    </row>
    <row r="9223" spans="1:4" hidden="1" x14ac:dyDescent="0.25">
      <c r="A9223" t="s">
        <v>692</v>
      </c>
      <c r="B9223" t="s">
        <v>110</v>
      </c>
      <c r="C9223" s="2">
        <f>HYPERLINK("https://sao.dolgi.msk.ru/account/1404190992/", 1404190992)</f>
        <v>1404190992</v>
      </c>
      <c r="D9223">
        <v>-7242.38</v>
      </c>
    </row>
    <row r="9224" spans="1:4" hidden="1" x14ac:dyDescent="0.25">
      <c r="A9224" t="s">
        <v>692</v>
      </c>
      <c r="B9224" t="s">
        <v>111</v>
      </c>
      <c r="C9224" s="2">
        <f>HYPERLINK("https://sao.dolgi.msk.ru/account/1404191274/", 1404191274)</f>
        <v>1404191274</v>
      </c>
      <c r="D9224">
        <v>0</v>
      </c>
    </row>
    <row r="9225" spans="1:4" hidden="1" x14ac:dyDescent="0.25">
      <c r="A9225" t="s">
        <v>692</v>
      </c>
      <c r="B9225" t="s">
        <v>112</v>
      </c>
      <c r="C9225" s="2">
        <f>HYPERLINK("https://sao.dolgi.msk.ru/account/1404191995/", 1404191995)</f>
        <v>1404191995</v>
      </c>
      <c r="D9225">
        <v>-8547.5</v>
      </c>
    </row>
    <row r="9226" spans="1:4" hidden="1" x14ac:dyDescent="0.25">
      <c r="A9226" t="s">
        <v>692</v>
      </c>
      <c r="B9226" t="s">
        <v>113</v>
      </c>
      <c r="C9226" s="2">
        <f>HYPERLINK("https://sao.dolgi.msk.ru/account/1404190677/", 1404190677)</f>
        <v>1404190677</v>
      </c>
      <c r="D9226">
        <v>0</v>
      </c>
    </row>
    <row r="9227" spans="1:4" hidden="1" x14ac:dyDescent="0.25">
      <c r="A9227" t="s">
        <v>692</v>
      </c>
      <c r="B9227" t="s">
        <v>114</v>
      </c>
      <c r="C9227" s="2">
        <f>HYPERLINK("https://sao.dolgi.msk.ru/account/1404190685/", 1404190685)</f>
        <v>1404190685</v>
      </c>
      <c r="D9227">
        <v>-6304.63</v>
      </c>
    </row>
    <row r="9228" spans="1:4" hidden="1" x14ac:dyDescent="0.25">
      <c r="A9228" t="s">
        <v>692</v>
      </c>
      <c r="B9228" t="s">
        <v>115</v>
      </c>
      <c r="C9228" s="2">
        <f>HYPERLINK("https://sao.dolgi.msk.ru/account/1404192007/", 1404192007)</f>
        <v>1404192007</v>
      </c>
      <c r="D9228">
        <v>-4416.71</v>
      </c>
    </row>
    <row r="9229" spans="1:4" hidden="1" x14ac:dyDescent="0.25">
      <c r="A9229" t="s">
        <v>692</v>
      </c>
      <c r="B9229" t="s">
        <v>116</v>
      </c>
      <c r="C9229" s="2">
        <f>HYPERLINK("https://sao.dolgi.msk.ru/account/1404190773/", 1404190773)</f>
        <v>1404190773</v>
      </c>
      <c r="D9229">
        <v>0</v>
      </c>
    </row>
    <row r="9230" spans="1:4" x14ac:dyDescent="0.25">
      <c r="A9230" t="s">
        <v>692</v>
      </c>
      <c r="B9230" t="s">
        <v>117</v>
      </c>
      <c r="C9230" s="2">
        <f>HYPERLINK("https://sao.dolgi.msk.ru/account/1404190693/", 1404190693)</f>
        <v>1404190693</v>
      </c>
      <c r="D9230">
        <v>53635.79</v>
      </c>
    </row>
    <row r="9231" spans="1:4" hidden="1" x14ac:dyDescent="0.25">
      <c r="A9231" t="s">
        <v>692</v>
      </c>
      <c r="B9231" t="s">
        <v>118</v>
      </c>
      <c r="C9231" s="2">
        <f>HYPERLINK("https://sao.dolgi.msk.ru/account/1404191549/", 1404191549)</f>
        <v>1404191549</v>
      </c>
      <c r="D9231">
        <v>-6502.33</v>
      </c>
    </row>
    <row r="9232" spans="1:4" x14ac:dyDescent="0.25">
      <c r="A9232" t="s">
        <v>692</v>
      </c>
      <c r="B9232" t="s">
        <v>119</v>
      </c>
      <c r="C9232" s="2">
        <f>HYPERLINK("https://sao.dolgi.msk.ru/account/1404191004/", 1404191004)</f>
        <v>1404191004</v>
      </c>
      <c r="D9232">
        <v>12532.87</v>
      </c>
    </row>
    <row r="9233" spans="1:4" hidden="1" x14ac:dyDescent="0.25">
      <c r="A9233" t="s">
        <v>692</v>
      </c>
      <c r="B9233" t="s">
        <v>120</v>
      </c>
      <c r="C9233" s="2">
        <f>HYPERLINK("https://sao.dolgi.msk.ru/account/1404191776/", 1404191776)</f>
        <v>1404191776</v>
      </c>
      <c r="D9233">
        <v>-8220.66</v>
      </c>
    </row>
    <row r="9234" spans="1:4" hidden="1" x14ac:dyDescent="0.25">
      <c r="A9234" t="s">
        <v>692</v>
      </c>
      <c r="B9234" t="s">
        <v>121</v>
      </c>
      <c r="C9234" s="2">
        <f>HYPERLINK("https://sao.dolgi.msk.ru/account/1404190837/", 1404190837)</f>
        <v>1404190837</v>
      </c>
      <c r="D9234">
        <v>-4459.2299999999996</v>
      </c>
    </row>
    <row r="9235" spans="1:4" hidden="1" x14ac:dyDescent="0.25">
      <c r="A9235" t="s">
        <v>692</v>
      </c>
      <c r="B9235" t="s">
        <v>122</v>
      </c>
      <c r="C9235" s="2">
        <f>HYPERLINK("https://sao.dolgi.msk.ru/account/1404190845/", 1404190845)</f>
        <v>1404190845</v>
      </c>
      <c r="D9235">
        <v>0</v>
      </c>
    </row>
    <row r="9236" spans="1:4" hidden="1" x14ac:dyDescent="0.25">
      <c r="A9236" t="s">
        <v>692</v>
      </c>
      <c r="B9236" t="s">
        <v>123</v>
      </c>
      <c r="C9236" s="2">
        <f>HYPERLINK("https://sao.dolgi.msk.ru/account/1404191784/", 1404191784)</f>
        <v>1404191784</v>
      </c>
      <c r="D9236">
        <v>-2912.7</v>
      </c>
    </row>
    <row r="9237" spans="1:4" hidden="1" x14ac:dyDescent="0.25">
      <c r="A9237" t="s">
        <v>692</v>
      </c>
      <c r="B9237" t="s">
        <v>124</v>
      </c>
      <c r="C9237" s="2">
        <f>HYPERLINK("https://sao.dolgi.msk.ru/account/1404192015/", 1404192015)</f>
        <v>1404192015</v>
      </c>
      <c r="D9237">
        <v>-4299.21</v>
      </c>
    </row>
    <row r="9238" spans="1:4" hidden="1" x14ac:dyDescent="0.25">
      <c r="A9238" t="s">
        <v>692</v>
      </c>
      <c r="B9238" t="s">
        <v>125</v>
      </c>
      <c r="C9238" s="2">
        <f>HYPERLINK("https://sao.dolgi.msk.ru/account/1404191047/", 1404191047)</f>
        <v>1404191047</v>
      </c>
      <c r="D9238">
        <v>0</v>
      </c>
    </row>
    <row r="9239" spans="1:4" hidden="1" x14ac:dyDescent="0.25">
      <c r="A9239" t="s">
        <v>692</v>
      </c>
      <c r="B9239" t="s">
        <v>126</v>
      </c>
      <c r="C9239" s="2">
        <f>HYPERLINK("https://sao.dolgi.msk.ru/account/1404191792/", 1404191792)</f>
        <v>1404191792</v>
      </c>
      <c r="D9239">
        <v>-4034.48</v>
      </c>
    </row>
    <row r="9240" spans="1:4" hidden="1" x14ac:dyDescent="0.25">
      <c r="A9240" t="s">
        <v>692</v>
      </c>
      <c r="B9240" t="s">
        <v>127</v>
      </c>
      <c r="C9240" s="2">
        <f>HYPERLINK("https://sao.dolgi.msk.ru/account/1404192023/", 1404192023)</f>
        <v>1404192023</v>
      </c>
      <c r="D9240">
        <v>-7133.48</v>
      </c>
    </row>
    <row r="9241" spans="1:4" hidden="1" x14ac:dyDescent="0.25">
      <c r="A9241" t="s">
        <v>692</v>
      </c>
      <c r="B9241" t="s">
        <v>128</v>
      </c>
      <c r="C9241" s="2">
        <f>HYPERLINK("https://sao.dolgi.msk.ru/account/1404191805/", 1404191805)</f>
        <v>1404191805</v>
      </c>
      <c r="D9241">
        <v>-4403.75</v>
      </c>
    </row>
    <row r="9242" spans="1:4" hidden="1" x14ac:dyDescent="0.25">
      <c r="A9242" t="s">
        <v>692</v>
      </c>
      <c r="B9242" t="s">
        <v>129</v>
      </c>
      <c r="C9242" s="2">
        <f>HYPERLINK("https://sao.dolgi.msk.ru/account/1404191434/", 1404191434)</f>
        <v>1404191434</v>
      </c>
      <c r="D9242">
        <v>-2212.67</v>
      </c>
    </row>
    <row r="9243" spans="1:4" hidden="1" x14ac:dyDescent="0.25">
      <c r="A9243" t="s">
        <v>692</v>
      </c>
      <c r="B9243" t="s">
        <v>130</v>
      </c>
      <c r="C9243" s="2">
        <f>HYPERLINK("https://sao.dolgi.msk.ru/account/1404191442/", 1404191442)</f>
        <v>1404191442</v>
      </c>
      <c r="D9243">
        <v>-9480.73</v>
      </c>
    </row>
    <row r="9244" spans="1:4" hidden="1" x14ac:dyDescent="0.25">
      <c r="A9244" t="s">
        <v>692</v>
      </c>
      <c r="B9244" t="s">
        <v>131</v>
      </c>
      <c r="C9244" s="2">
        <f>HYPERLINK("https://sao.dolgi.msk.ru/account/1404191813/", 1404191813)</f>
        <v>1404191813</v>
      </c>
      <c r="D9244">
        <v>0</v>
      </c>
    </row>
    <row r="9245" spans="1:4" hidden="1" x14ac:dyDescent="0.25">
      <c r="A9245" t="s">
        <v>693</v>
      </c>
      <c r="B9245" t="s">
        <v>5</v>
      </c>
      <c r="C9245" s="2">
        <f>HYPERLINK("https://sao.dolgi.msk.ru/account/1404193018/", 1404193018)</f>
        <v>1404193018</v>
      </c>
      <c r="D9245">
        <v>0</v>
      </c>
    </row>
    <row r="9246" spans="1:4" hidden="1" x14ac:dyDescent="0.25">
      <c r="A9246" t="s">
        <v>693</v>
      </c>
      <c r="B9246" t="s">
        <v>6</v>
      </c>
      <c r="C9246" s="2">
        <f>HYPERLINK("https://sao.dolgi.msk.ru/account/1404192357/", 1404192357)</f>
        <v>1404192357</v>
      </c>
      <c r="D9246">
        <v>-3912.31</v>
      </c>
    </row>
    <row r="9247" spans="1:4" hidden="1" x14ac:dyDescent="0.25">
      <c r="A9247" t="s">
        <v>693</v>
      </c>
      <c r="B9247" t="s">
        <v>7</v>
      </c>
      <c r="C9247" s="2">
        <f>HYPERLINK("https://sao.dolgi.msk.ru/account/1404193165/", 1404193165)</f>
        <v>1404193165</v>
      </c>
      <c r="D9247">
        <v>0</v>
      </c>
    </row>
    <row r="9248" spans="1:4" hidden="1" x14ac:dyDescent="0.25">
      <c r="A9248" t="s">
        <v>693</v>
      </c>
      <c r="B9248" t="s">
        <v>8</v>
      </c>
      <c r="C9248" s="2">
        <f>HYPERLINK("https://sao.dolgi.msk.ru/account/1404192453/", 1404192453)</f>
        <v>1404192453</v>
      </c>
      <c r="D9248">
        <v>-8749.9699999999993</v>
      </c>
    </row>
    <row r="9249" spans="1:4" hidden="1" x14ac:dyDescent="0.25">
      <c r="A9249" t="s">
        <v>693</v>
      </c>
      <c r="B9249" t="s">
        <v>9</v>
      </c>
      <c r="C9249" s="2">
        <f>HYPERLINK("https://sao.dolgi.msk.ru/account/1404192875/", 1404192875)</f>
        <v>1404192875</v>
      </c>
      <c r="D9249">
        <v>-2495.1999999999998</v>
      </c>
    </row>
    <row r="9250" spans="1:4" hidden="1" x14ac:dyDescent="0.25">
      <c r="A9250" t="s">
        <v>693</v>
      </c>
      <c r="B9250" t="s">
        <v>10</v>
      </c>
      <c r="C9250" s="2">
        <f>HYPERLINK("https://sao.dolgi.msk.ru/account/1404193544/", 1404193544)</f>
        <v>1404193544</v>
      </c>
      <c r="D9250">
        <v>-4816.91</v>
      </c>
    </row>
    <row r="9251" spans="1:4" hidden="1" x14ac:dyDescent="0.25">
      <c r="A9251" t="s">
        <v>693</v>
      </c>
      <c r="B9251" t="s">
        <v>11</v>
      </c>
      <c r="C9251" s="2">
        <f>HYPERLINK("https://sao.dolgi.msk.ru/account/1404192322/", 1404192322)</f>
        <v>1404192322</v>
      </c>
      <c r="D9251">
        <v>-7973.91</v>
      </c>
    </row>
    <row r="9252" spans="1:4" hidden="1" x14ac:dyDescent="0.25">
      <c r="A9252" t="s">
        <v>693</v>
      </c>
      <c r="B9252" t="s">
        <v>12</v>
      </c>
      <c r="C9252" s="2">
        <f>HYPERLINK("https://sao.dolgi.msk.ru/account/1404192306/", 1404192306)</f>
        <v>1404192306</v>
      </c>
      <c r="D9252">
        <v>0</v>
      </c>
    </row>
    <row r="9253" spans="1:4" x14ac:dyDescent="0.25">
      <c r="A9253" t="s">
        <v>693</v>
      </c>
      <c r="B9253" t="s">
        <v>13</v>
      </c>
      <c r="C9253" s="2">
        <f>HYPERLINK("https://sao.dolgi.msk.ru/account/1404192111/", 1404192111)</f>
        <v>1404192111</v>
      </c>
      <c r="D9253">
        <v>51929.75</v>
      </c>
    </row>
    <row r="9254" spans="1:4" hidden="1" x14ac:dyDescent="0.25">
      <c r="A9254" t="s">
        <v>693</v>
      </c>
      <c r="B9254" t="s">
        <v>14</v>
      </c>
      <c r="C9254" s="2">
        <f>HYPERLINK("https://sao.dolgi.msk.ru/account/1404192648/", 1404192648)</f>
        <v>1404192648</v>
      </c>
      <c r="D9254">
        <v>-5676.46</v>
      </c>
    </row>
    <row r="9255" spans="1:4" hidden="1" x14ac:dyDescent="0.25">
      <c r="A9255" t="s">
        <v>693</v>
      </c>
      <c r="B9255" t="s">
        <v>15</v>
      </c>
      <c r="C9255" s="2">
        <f>HYPERLINK("https://sao.dolgi.msk.ru/account/1404193253/", 1404193253)</f>
        <v>1404193253</v>
      </c>
      <c r="D9255">
        <v>-3996.41</v>
      </c>
    </row>
    <row r="9256" spans="1:4" hidden="1" x14ac:dyDescent="0.25">
      <c r="A9256" t="s">
        <v>693</v>
      </c>
      <c r="B9256" t="s">
        <v>16</v>
      </c>
      <c r="C9256" s="2">
        <f>HYPERLINK("https://sao.dolgi.msk.ru/account/1404192226/", 1404192226)</f>
        <v>1404192226</v>
      </c>
      <c r="D9256">
        <v>-9393.2199999999993</v>
      </c>
    </row>
    <row r="9257" spans="1:4" hidden="1" x14ac:dyDescent="0.25">
      <c r="A9257" t="s">
        <v>693</v>
      </c>
      <c r="B9257" t="s">
        <v>17</v>
      </c>
      <c r="C9257" s="2">
        <f>HYPERLINK("https://sao.dolgi.msk.ru/account/1404192904/", 1404192904)</f>
        <v>1404192904</v>
      </c>
      <c r="D9257">
        <v>-7950.2</v>
      </c>
    </row>
    <row r="9258" spans="1:4" hidden="1" x14ac:dyDescent="0.25">
      <c r="A9258" t="s">
        <v>693</v>
      </c>
      <c r="B9258" t="s">
        <v>18</v>
      </c>
      <c r="C9258" s="2">
        <f>HYPERLINK("https://sao.dolgi.msk.ru/account/1404193288/", 1404193288)</f>
        <v>1404193288</v>
      </c>
      <c r="D9258">
        <v>-4330</v>
      </c>
    </row>
    <row r="9259" spans="1:4" hidden="1" x14ac:dyDescent="0.25">
      <c r="A9259" t="s">
        <v>693</v>
      </c>
      <c r="B9259" t="s">
        <v>19</v>
      </c>
      <c r="C9259" s="2">
        <f>HYPERLINK("https://sao.dolgi.msk.ru/account/1404192672/", 1404192672)</f>
        <v>1404192672</v>
      </c>
      <c r="D9259">
        <v>-5220.59</v>
      </c>
    </row>
    <row r="9260" spans="1:4" hidden="1" x14ac:dyDescent="0.25">
      <c r="A9260" t="s">
        <v>693</v>
      </c>
      <c r="B9260" t="s">
        <v>20</v>
      </c>
      <c r="C9260" s="2">
        <f>HYPERLINK("https://sao.dolgi.msk.ru/account/1404193296/", 1404193296)</f>
        <v>1404193296</v>
      </c>
      <c r="D9260">
        <v>-6564.72</v>
      </c>
    </row>
    <row r="9261" spans="1:4" hidden="1" x14ac:dyDescent="0.25">
      <c r="A9261" t="s">
        <v>693</v>
      </c>
      <c r="B9261" t="s">
        <v>21</v>
      </c>
      <c r="C9261" s="2">
        <f>HYPERLINK("https://sao.dolgi.msk.ru/account/1404192779/", 1404192779)</f>
        <v>1404192779</v>
      </c>
      <c r="D9261">
        <v>-8580.5499999999993</v>
      </c>
    </row>
    <row r="9262" spans="1:4" x14ac:dyDescent="0.25">
      <c r="A9262" t="s">
        <v>693</v>
      </c>
      <c r="B9262" t="s">
        <v>22</v>
      </c>
      <c r="C9262" s="2">
        <f>HYPERLINK("https://sao.dolgi.msk.ru/account/1404192146/", 1404192146)</f>
        <v>1404192146</v>
      </c>
      <c r="D9262">
        <v>21600.49</v>
      </c>
    </row>
    <row r="9263" spans="1:4" hidden="1" x14ac:dyDescent="0.25">
      <c r="A9263" t="s">
        <v>693</v>
      </c>
      <c r="B9263" t="s">
        <v>23</v>
      </c>
      <c r="C9263" s="2">
        <f>HYPERLINK("https://sao.dolgi.msk.ru/account/1404193499/", 1404193499)</f>
        <v>1404193499</v>
      </c>
      <c r="D9263">
        <v>-8748.98</v>
      </c>
    </row>
    <row r="9264" spans="1:4" hidden="1" x14ac:dyDescent="0.25">
      <c r="A9264" t="s">
        <v>693</v>
      </c>
      <c r="B9264" t="s">
        <v>24</v>
      </c>
      <c r="C9264" s="2">
        <f>HYPERLINK("https://sao.dolgi.msk.ru/account/1404193333/", 1404193333)</f>
        <v>1404193333</v>
      </c>
      <c r="D9264">
        <v>-7216.26</v>
      </c>
    </row>
    <row r="9265" spans="1:4" hidden="1" x14ac:dyDescent="0.25">
      <c r="A9265" t="s">
        <v>693</v>
      </c>
      <c r="B9265" t="s">
        <v>25</v>
      </c>
      <c r="C9265" s="2">
        <f>HYPERLINK("https://sao.dolgi.msk.ru/account/1404192365/", 1404192365)</f>
        <v>1404192365</v>
      </c>
      <c r="D9265">
        <v>-7933.64</v>
      </c>
    </row>
    <row r="9266" spans="1:4" x14ac:dyDescent="0.25">
      <c r="A9266" t="s">
        <v>693</v>
      </c>
      <c r="B9266" t="s">
        <v>26</v>
      </c>
      <c r="C9266" s="2">
        <f>HYPERLINK("https://sao.dolgi.msk.ru/account/1404193341/", 1404193341)</f>
        <v>1404193341</v>
      </c>
      <c r="D9266">
        <v>26625.919999999998</v>
      </c>
    </row>
    <row r="9267" spans="1:4" hidden="1" x14ac:dyDescent="0.25">
      <c r="A9267" t="s">
        <v>693</v>
      </c>
      <c r="B9267" t="s">
        <v>27</v>
      </c>
      <c r="C9267" s="2">
        <f>HYPERLINK("https://sao.dolgi.msk.ru/account/1404192373/", 1404192373)</f>
        <v>1404192373</v>
      </c>
      <c r="D9267">
        <v>-7445.7</v>
      </c>
    </row>
    <row r="9268" spans="1:4" hidden="1" x14ac:dyDescent="0.25">
      <c r="A9268" t="s">
        <v>693</v>
      </c>
      <c r="B9268" t="s">
        <v>28</v>
      </c>
      <c r="C9268" s="2">
        <f>HYPERLINK("https://sao.dolgi.msk.ru/account/1404192381/", 1404192381)</f>
        <v>1404192381</v>
      </c>
      <c r="D9268">
        <v>-10368.75</v>
      </c>
    </row>
    <row r="9269" spans="1:4" x14ac:dyDescent="0.25">
      <c r="A9269" t="s">
        <v>693</v>
      </c>
      <c r="B9269" t="s">
        <v>29</v>
      </c>
      <c r="C9269" s="2">
        <f>HYPERLINK("https://sao.dolgi.msk.ru/account/1404192154/", 1404192154)</f>
        <v>1404192154</v>
      </c>
      <c r="D9269">
        <v>19047.580000000002</v>
      </c>
    </row>
    <row r="9270" spans="1:4" hidden="1" x14ac:dyDescent="0.25">
      <c r="A9270" t="s">
        <v>693</v>
      </c>
      <c r="B9270" t="s">
        <v>30</v>
      </c>
      <c r="C9270" s="2">
        <f>HYPERLINK("https://sao.dolgi.msk.ru/account/1404193093/", 1404193093)</f>
        <v>1404193093</v>
      </c>
      <c r="D9270">
        <v>0</v>
      </c>
    </row>
    <row r="9271" spans="1:4" hidden="1" x14ac:dyDescent="0.25">
      <c r="A9271" t="s">
        <v>693</v>
      </c>
      <c r="B9271" t="s">
        <v>31</v>
      </c>
      <c r="C9271" s="2">
        <f>HYPERLINK("https://sao.dolgi.msk.ru/account/1404192162/", 1404192162)</f>
        <v>1404192162</v>
      </c>
      <c r="D9271">
        <v>0</v>
      </c>
    </row>
    <row r="9272" spans="1:4" hidden="1" x14ac:dyDescent="0.25">
      <c r="A9272" t="s">
        <v>693</v>
      </c>
      <c r="B9272" t="s">
        <v>32</v>
      </c>
      <c r="C9272" s="2">
        <f>HYPERLINK("https://sao.dolgi.msk.ru/account/1404192568/", 1404192568)</f>
        <v>1404192568</v>
      </c>
      <c r="D9272">
        <v>-10436.959999999999</v>
      </c>
    </row>
    <row r="9273" spans="1:4" hidden="1" x14ac:dyDescent="0.25">
      <c r="A9273" t="s">
        <v>693</v>
      </c>
      <c r="B9273" t="s">
        <v>33</v>
      </c>
      <c r="C9273" s="2">
        <f>HYPERLINK("https://sao.dolgi.msk.ru/account/1404192189/", 1404192189)</f>
        <v>1404192189</v>
      </c>
      <c r="D9273">
        <v>-6477.24</v>
      </c>
    </row>
    <row r="9274" spans="1:4" hidden="1" x14ac:dyDescent="0.25">
      <c r="A9274" t="s">
        <v>693</v>
      </c>
      <c r="B9274" t="s">
        <v>34</v>
      </c>
      <c r="C9274" s="2">
        <f>HYPERLINK("https://sao.dolgi.msk.ru/account/1404192971/", 1404192971)</f>
        <v>1404192971</v>
      </c>
      <c r="D9274">
        <v>-3532.92</v>
      </c>
    </row>
    <row r="9275" spans="1:4" x14ac:dyDescent="0.25">
      <c r="A9275" t="s">
        <v>693</v>
      </c>
      <c r="B9275" t="s">
        <v>35</v>
      </c>
      <c r="C9275" s="2">
        <f>HYPERLINK("https://sao.dolgi.msk.ru/account/1404193173/", 1404193173)</f>
        <v>1404193173</v>
      </c>
      <c r="D9275">
        <v>124812.7</v>
      </c>
    </row>
    <row r="9276" spans="1:4" hidden="1" x14ac:dyDescent="0.25">
      <c r="A9276" t="s">
        <v>693</v>
      </c>
      <c r="B9276" t="s">
        <v>36</v>
      </c>
      <c r="C9276" s="2">
        <f>HYPERLINK("https://sao.dolgi.msk.ru/account/1404192613/", 1404192613)</f>
        <v>1404192613</v>
      </c>
      <c r="D9276">
        <v>0</v>
      </c>
    </row>
    <row r="9277" spans="1:4" hidden="1" x14ac:dyDescent="0.25">
      <c r="A9277" t="s">
        <v>693</v>
      </c>
      <c r="B9277" t="s">
        <v>37</v>
      </c>
      <c r="C9277" s="2">
        <f>HYPERLINK("https://sao.dolgi.msk.ru/account/1404192437/", 1404192437)</f>
        <v>1404192437</v>
      </c>
      <c r="D9277">
        <v>-9061.69</v>
      </c>
    </row>
    <row r="9278" spans="1:4" hidden="1" x14ac:dyDescent="0.25">
      <c r="A9278" t="s">
        <v>693</v>
      </c>
      <c r="B9278" t="s">
        <v>38</v>
      </c>
      <c r="C9278" s="2">
        <f>HYPERLINK("https://sao.dolgi.msk.ru/account/1404193181/", 1404193181)</f>
        <v>1404193181</v>
      </c>
      <c r="D9278">
        <v>-6686.65</v>
      </c>
    </row>
    <row r="9279" spans="1:4" x14ac:dyDescent="0.25">
      <c r="A9279" t="s">
        <v>693</v>
      </c>
      <c r="B9279" t="s">
        <v>39</v>
      </c>
      <c r="C9279" s="2">
        <f>HYPERLINK("https://sao.dolgi.msk.ru/account/1404192824/", 1404192824)</f>
        <v>1404192824</v>
      </c>
      <c r="D9279">
        <v>56265.78</v>
      </c>
    </row>
    <row r="9280" spans="1:4" hidden="1" x14ac:dyDescent="0.25">
      <c r="A9280" t="s">
        <v>693</v>
      </c>
      <c r="B9280" t="s">
        <v>40</v>
      </c>
      <c r="C9280" s="2">
        <f>HYPERLINK("https://sao.dolgi.msk.ru/account/1404192832/", 1404192832)</f>
        <v>1404192832</v>
      </c>
      <c r="D9280">
        <v>-6307.82</v>
      </c>
    </row>
    <row r="9281" spans="1:4" hidden="1" x14ac:dyDescent="0.25">
      <c r="A9281" t="s">
        <v>693</v>
      </c>
      <c r="B9281" t="s">
        <v>41</v>
      </c>
      <c r="C9281" s="2">
        <f>HYPERLINK("https://sao.dolgi.msk.ru/account/1404192939/", 1404192939)</f>
        <v>1404192939</v>
      </c>
      <c r="D9281">
        <v>-4901.7700000000004</v>
      </c>
    </row>
    <row r="9282" spans="1:4" hidden="1" x14ac:dyDescent="0.25">
      <c r="A9282" t="s">
        <v>693</v>
      </c>
      <c r="B9282" t="s">
        <v>41</v>
      </c>
      <c r="C9282" s="2">
        <f>HYPERLINK("https://sao.dolgi.msk.ru/account/1404193624/", 1404193624)</f>
        <v>1404193624</v>
      </c>
      <c r="D9282">
        <v>-2324.39</v>
      </c>
    </row>
    <row r="9283" spans="1:4" hidden="1" x14ac:dyDescent="0.25">
      <c r="A9283" t="s">
        <v>693</v>
      </c>
      <c r="B9283" t="s">
        <v>42</v>
      </c>
      <c r="C9283" s="2">
        <f>HYPERLINK("https://sao.dolgi.msk.ru/account/1404192445/", 1404192445)</f>
        <v>1404192445</v>
      </c>
      <c r="D9283">
        <v>-4453.5</v>
      </c>
    </row>
    <row r="9284" spans="1:4" hidden="1" x14ac:dyDescent="0.25">
      <c r="A9284" t="s">
        <v>693</v>
      </c>
      <c r="B9284" t="s">
        <v>43</v>
      </c>
      <c r="C9284" s="2">
        <f>HYPERLINK("https://sao.dolgi.msk.ru/account/1404192242/", 1404192242)</f>
        <v>1404192242</v>
      </c>
      <c r="D9284">
        <v>0</v>
      </c>
    </row>
    <row r="9285" spans="1:4" hidden="1" x14ac:dyDescent="0.25">
      <c r="A9285" t="s">
        <v>693</v>
      </c>
      <c r="B9285" t="s">
        <v>44</v>
      </c>
      <c r="C9285" s="2">
        <f>HYPERLINK("https://sao.dolgi.msk.ru/account/1404192859/", 1404192859)</f>
        <v>1404192859</v>
      </c>
      <c r="D9285">
        <v>-5334.41</v>
      </c>
    </row>
    <row r="9286" spans="1:4" hidden="1" x14ac:dyDescent="0.25">
      <c r="A9286" t="s">
        <v>693</v>
      </c>
      <c r="B9286" t="s">
        <v>45</v>
      </c>
      <c r="C9286" s="2">
        <f>HYPERLINK("https://sao.dolgi.msk.ru/account/1404192867/", 1404192867)</f>
        <v>1404192867</v>
      </c>
      <c r="D9286">
        <v>0</v>
      </c>
    </row>
    <row r="9287" spans="1:4" x14ac:dyDescent="0.25">
      <c r="A9287" t="s">
        <v>693</v>
      </c>
      <c r="B9287" t="s">
        <v>46</v>
      </c>
      <c r="C9287" s="2">
        <f>HYPERLINK("https://sao.dolgi.msk.ru/account/1404193632/", 1404193632)</f>
        <v>1404193632</v>
      </c>
      <c r="D9287">
        <v>1296.04</v>
      </c>
    </row>
    <row r="9288" spans="1:4" hidden="1" x14ac:dyDescent="0.25">
      <c r="A9288" t="s">
        <v>693</v>
      </c>
      <c r="B9288" t="s">
        <v>47</v>
      </c>
      <c r="C9288" s="2">
        <f>HYPERLINK("https://sao.dolgi.msk.ru/account/1404193202/", 1404193202)</f>
        <v>1404193202</v>
      </c>
      <c r="D9288">
        <v>0</v>
      </c>
    </row>
    <row r="9289" spans="1:4" hidden="1" x14ac:dyDescent="0.25">
      <c r="A9289" t="s">
        <v>693</v>
      </c>
      <c r="B9289" t="s">
        <v>48</v>
      </c>
      <c r="C9289" s="2">
        <f>HYPERLINK("https://sao.dolgi.msk.ru/account/1404192269/", 1404192269)</f>
        <v>1404192269</v>
      </c>
      <c r="D9289">
        <v>0</v>
      </c>
    </row>
    <row r="9290" spans="1:4" hidden="1" x14ac:dyDescent="0.25">
      <c r="A9290" t="s">
        <v>693</v>
      </c>
      <c r="B9290" t="s">
        <v>49</v>
      </c>
      <c r="C9290" s="2">
        <f>HYPERLINK("https://sao.dolgi.msk.ru/account/1404193392/", 1404193392)</f>
        <v>1404193392</v>
      </c>
      <c r="D9290">
        <v>0</v>
      </c>
    </row>
    <row r="9291" spans="1:4" x14ac:dyDescent="0.25">
      <c r="A9291" t="s">
        <v>693</v>
      </c>
      <c r="B9291" t="s">
        <v>50</v>
      </c>
      <c r="C9291" s="2">
        <f>HYPERLINK("https://sao.dolgi.msk.ru/account/1404192998/", 1404192998)</f>
        <v>1404192998</v>
      </c>
      <c r="D9291">
        <v>12792.08</v>
      </c>
    </row>
    <row r="9292" spans="1:4" hidden="1" x14ac:dyDescent="0.25">
      <c r="A9292" t="s">
        <v>693</v>
      </c>
      <c r="B9292" t="s">
        <v>51</v>
      </c>
      <c r="C9292" s="2">
        <f>HYPERLINK("https://sao.dolgi.msk.ru/account/1404192461/", 1404192461)</f>
        <v>1404192461</v>
      </c>
      <c r="D9292">
        <v>-3419.56</v>
      </c>
    </row>
    <row r="9293" spans="1:4" hidden="1" x14ac:dyDescent="0.25">
      <c r="A9293" t="s">
        <v>693</v>
      </c>
      <c r="B9293" t="s">
        <v>52</v>
      </c>
      <c r="C9293" s="2">
        <f>HYPERLINK("https://sao.dolgi.msk.ru/account/1404193659/", 1404193659)</f>
        <v>1404193659</v>
      </c>
      <c r="D9293">
        <v>-9203.9</v>
      </c>
    </row>
    <row r="9294" spans="1:4" hidden="1" x14ac:dyDescent="0.25">
      <c r="A9294" t="s">
        <v>693</v>
      </c>
      <c r="B9294" t="s">
        <v>53</v>
      </c>
      <c r="C9294" s="2">
        <f>HYPERLINK("https://sao.dolgi.msk.ru/account/1404192621/", 1404192621)</f>
        <v>1404192621</v>
      </c>
      <c r="D9294">
        <v>0</v>
      </c>
    </row>
    <row r="9295" spans="1:4" x14ac:dyDescent="0.25">
      <c r="A9295" t="s">
        <v>693</v>
      </c>
      <c r="B9295" t="s">
        <v>54</v>
      </c>
      <c r="C9295" s="2">
        <f>HYPERLINK("https://sao.dolgi.msk.ru/account/1404193229/", 1404193229)</f>
        <v>1404193229</v>
      </c>
      <c r="D9295">
        <v>4288.5600000000004</v>
      </c>
    </row>
    <row r="9296" spans="1:4" hidden="1" x14ac:dyDescent="0.25">
      <c r="A9296" t="s">
        <v>693</v>
      </c>
      <c r="B9296" t="s">
        <v>55</v>
      </c>
      <c r="C9296" s="2">
        <f>HYPERLINK("https://sao.dolgi.msk.ru/account/1404193237/", 1404193237)</f>
        <v>1404193237</v>
      </c>
      <c r="D9296">
        <v>-12157.75</v>
      </c>
    </row>
    <row r="9297" spans="1:4" hidden="1" x14ac:dyDescent="0.25">
      <c r="A9297" t="s">
        <v>693</v>
      </c>
      <c r="B9297" t="s">
        <v>56</v>
      </c>
      <c r="C9297" s="2">
        <f>HYPERLINK("https://sao.dolgi.msk.ru/account/1404192883/", 1404192883)</f>
        <v>1404192883</v>
      </c>
      <c r="D9297">
        <v>-7013.53</v>
      </c>
    </row>
    <row r="9298" spans="1:4" hidden="1" x14ac:dyDescent="0.25">
      <c r="A9298" t="s">
        <v>693</v>
      </c>
      <c r="B9298" t="s">
        <v>57</v>
      </c>
      <c r="C9298" s="2">
        <f>HYPERLINK("https://sao.dolgi.msk.ru/account/1404193667/", 1404193667)</f>
        <v>1404193667</v>
      </c>
      <c r="D9298">
        <v>-6374.98</v>
      </c>
    </row>
    <row r="9299" spans="1:4" x14ac:dyDescent="0.25">
      <c r="A9299" t="s">
        <v>693</v>
      </c>
      <c r="B9299" t="s">
        <v>58</v>
      </c>
      <c r="C9299" s="2">
        <f>HYPERLINK("https://sao.dolgi.msk.ru/account/1404193368/", 1404193368)</f>
        <v>1404193368</v>
      </c>
      <c r="D9299">
        <v>17352.59</v>
      </c>
    </row>
    <row r="9300" spans="1:4" hidden="1" x14ac:dyDescent="0.25">
      <c r="A9300" t="s">
        <v>693</v>
      </c>
      <c r="B9300" t="s">
        <v>59</v>
      </c>
      <c r="C9300" s="2">
        <f>HYPERLINK("https://sao.dolgi.msk.ru/account/1404193501/", 1404193501)</f>
        <v>1404193501</v>
      </c>
      <c r="D9300">
        <v>-5879.12</v>
      </c>
    </row>
    <row r="9301" spans="1:4" hidden="1" x14ac:dyDescent="0.25">
      <c r="A9301" t="s">
        <v>693</v>
      </c>
      <c r="B9301" t="s">
        <v>60</v>
      </c>
      <c r="C9301" s="2">
        <f>HYPERLINK("https://sao.dolgi.msk.ru/account/1404193106/", 1404193106)</f>
        <v>1404193106</v>
      </c>
      <c r="D9301">
        <v>0</v>
      </c>
    </row>
    <row r="9302" spans="1:4" x14ac:dyDescent="0.25">
      <c r="A9302" t="s">
        <v>693</v>
      </c>
      <c r="B9302" t="s">
        <v>61</v>
      </c>
      <c r="C9302" s="2">
        <f>HYPERLINK("https://sao.dolgi.msk.ru/account/1404193528/", 1404193528)</f>
        <v>1404193528</v>
      </c>
      <c r="D9302">
        <v>1775.43</v>
      </c>
    </row>
    <row r="9303" spans="1:4" hidden="1" x14ac:dyDescent="0.25">
      <c r="A9303" t="s">
        <v>693</v>
      </c>
      <c r="B9303" t="s">
        <v>62</v>
      </c>
      <c r="C9303" s="2">
        <f>HYPERLINK("https://sao.dolgi.msk.ru/account/1404192787/", 1404192787)</f>
        <v>1404192787</v>
      </c>
      <c r="D9303">
        <v>-3790.86</v>
      </c>
    </row>
    <row r="9304" spans="1:4" hidden="1" x14ac:dyDescent="0.25">
      <c r="A9304" t="s">
        <v>693</v>
      </c>
      <c r="B9304" t="s">
        <v>63</v>
      </c>
      <c r="C9304" s="2">
        <f>HYPERLINK("https://sao.dolgi.msk.ru/account/1404193536/", 1404193536)</f>
        <v>1404193536</v>
      </c>
      <c r="D9304">
        <v>-6370.71</v>
      </c>
    </row>
    <row r="9305" spans="1:4" x14ac:dyDescent="0.25">
      <c r="A9305" t="s">
        <v>693</v>
      </c>
      <c r="B9305" t="s">
        <v>64</v>
      </c>
      <c r="C9305" s="2">
        <f>HYPERLINK("https://sao.dolgi.msk.ru/account/1404192584/", 1404192584)</f>
        <v>1404192584</v>
      </c>
      <c r="D9305">
        <v>74744.460000000006</v>
      </c>
    </row>
    <row r="9306" spans="1:4" hidden="1" x14ac:dyDescent="0.25">
      <c r="A9306" t="s">
        <v>693</v>
      </c>
      <c r="B9306" t="s">
        <v>65</v>
      </c>
      <c r="C9306" s="2">
        <f>HYPERLINK("https://sao.dolgi.msk.ru/account/1404192197/", 1404192197)</f>
        <v>1404192197</v>
      </c>
      <c r="D9306">
        <v>-4053.14</v>
      </c>
    </row>
    <row r="9307" spans="1:4" hidden="1" x14ac:dyDescent="0.25">
      <c r="A9307" t="s">
        <v>693</v>
      </c>
      <c r="B9307" t="s">
        <v>66</v>
      </c>
      <c r="C9307" s="2">
        <f>HYPERLINK("https://sao.dolgi.msk.ru/account/1404192795/", 1404192795)</f>
        <v>1404192795</v>
      </c>
      <c r="D9307">
        <v>0</v>
      </c>
    </row>
    <row r="9308" spans="1:4" hidden="1" x14ac:dyDescent="0.25">
      <c r="A9308" t="s">
        <v>693</v>
      </c>
      <c r="B9308" t="s">
        <v>67</v>
      </c>
      <c r="C9308" s="2">
        <f>HYPERLINK("https://sao.dolgi.msk.ru/account/1404192402/", 1404192402)</f>
        <v>1404192402</v>
      </c>
      <c r="D9308">
        <v>-7076.38</v>
      </c>
    </row>
    <row r="9309" spans="1:4" hidden="1" x14ac:dyDescent="0.25">
      <c r="A9309" t="s">
        <v>693</v>
      </c>
      <c r="B9309" t="s">
        <v>68</v>
      </c>
      <c r="C9309" s="2">
        <f>HYPERLINK("https://sao.dolgi.msk.ru/account/1404193309/", 1404193309)</f>
        <v>1404193309</v>
      </c>
      <c r="D9309">
        <v>0</v>
      </c>
    </row>
    <row r="9310" spans="1:4" hidden="1" x14ac:dyDescent="0.25">
      <c r="A9310" t="s">
        <v>693</v>
      </c>
      <c r="B9310" t="s">
        <v>69</v>
      </c>
      <c r="C9310" s="2">
        <f>HYPERLINK("https://sao.dolgi.msk.ru/account/1404193317/", 1404193317)</f>
        <v>1404193317</v>
      </c>
      <c r="D9310">
        <v>-5689.42</v>
      </c>
    </row>
    <row r="9311" spans="1:4" x14ac:dyDescent="0.25">
      <c r="A9311" t="s">
        <v>693</v>
      </c>
      <c r="B9311" t="s">
        <v>70</v>
      </c>
      <c r="C9311" s="2">
        <f>HYPERLINK("https://sao.dolgi.msk.ru/account/1404192744/", 1404192744)</f>
        <v>1404192744</v>
      </c>
      <c r="D9311">
        <v>13550.55</v>
      </c>
    </row>
    <row r="9312" spans="1:4" x14ac:dyDescent="0.25">
      <c r="A9312" t="s">
        <v>693</v>
      </c>
      <c r="B9312" t="s">
        <v>71</v>
      </c>
      <c r="C9312" s="2">
        <f>HYPERLINK("https://sao.dolgi.msk.ru/account/1404192082/", 1404192082)</f>
        <v>1404192082</v>
      </c>
      <c r="D9312">
        <v>9432.3799999999992</v>
      </c>
    </row>
    <row r="9313" spans="1:4" hidden="1" x14ac:dyDescent="0.25">
      <c r="A9313" t="s">
        <v>693</v>
      </c>
      <c r="B9313" t="s">
        <v>72</v>
      </c>
      <c r="C9313" s="2">
        <f>HYPERLINK("https://sao.dolgi.msk.ru/account/1404192103/", 1404192103)</f>
        <v>1404192103</v>
      </c>
      <c r="D9313">
        <v>0</v>
      </c>
    </row>
    <row r="9314" spans="1:4" hidden="1" x14ac:dyDescent="0.25">
      <c r="A9314" t="s">
        <v>693</v>
      </c>
      <c r="B9314" t="s">
        <v>72</v>
      </c>
      <c r="C9314" s="2">
        <f>HYPERLINK("https://sao.dolgi.msk.ru/account/1404192576/", 1404192576)</f>
        <v>1404192576</v>
      </c>
      <c r="D9314">
        <v>0</v>
      </c>
    </row>
    <row r="9315" spans="1:4" hidden="1" x14ac:dyDescent="0.25">
      <c r="A9315" t="s">
        <v>693</v>
      </c>
      <c r="B9315" t="s">
        <v>73</v>
      </c>
      <c r="C9315" s="2">
        <f>HYPERLINK("https://sao.dolgi.msk.ru/account/1404192947/", 1404192947)</f>
        <v>1404192947</v>
      </c>
      <c r="D9315">
        <v>-9293.2999999999993</v>
      </c>
    </row>
    <row r="9316" spans="1:4" hidden="1" x14ac:dyDescent="0.25">
      <c r="A9316" t="s">
        <v>693</v>
      </c>
      <c r="B9316" t="s">
        <v>74</v>
      </c>
      <c r="C9316" s="2">
        <f>HYPERLINK("https://sao.dolgi.msk.ru/account/1404192525/", 1404192525)</f>
        <v>1404192525</v>
      </c>
      <c r="D9316">
        <v>-4625.97</v>
      </c>
    </row>
    <row r="9317" spans="1:4" hidden="1" x14ac:dyDescent="0.25">
      <c r="A9317" t="s">
        <v>693</v>
      </c>
      <c r="B9317" t="s">
        <v>75</v>
      </c>
      <c r="C9317" s="2">
        <f>HYPERLINK("https://sao.dolgi.msk.ru/account/1404193325/", 1404193325)</f>
        <v>1404193325</v>
      </c>
      <c r="D9317">
        <v>-5787.23</v>
      </c>
    </row>
    <row r="9318" spans="1:4" hidden="1" x14ac:dyDescent="0.25">
      <c r="A9318" t="s">
        <v>693</v>
      </c>
      <c r="B9318" t="s">
        <v>76</v>
      </c>
      <c r="C9318" s="2">
        <f>HYPERLINK("https://sao.dolgi.msk.ru/account/1404192752/", 1404192752)</f>
        <v>1404192752</v>
      </c>
      <c r="D9318">
        <v>-7090.93</v>
      </c>
    </row>
    <row r="9319" spans="1:4" hidden="1" x14ac:dyDescent="0.25">
      <c r="A9319" t="s">
        <v>693</v>
      </c>
      <c r="B9319" t="s">
        <v>77</v>
      </c>
      <c r="C9319" s="2">
        <f>HYPERLINK("https://sao.dolgi.msk.ru/account/1404192699/", 1404192699)</f>
        <v>1404192699</v>
      </c>
      <c r="D9319">
        <v>-6778.02</v>
      </c>
    </row>
    <row r="9320" spans="1:4" hidden="1" x14ac:dyDescent="0.25">
      <c r="A9320" t="s">
        <v>693</v>
      </c>
      <c r="B9320" t="s">
        <v>78</v>
      </c>
      <c r="C9320" s="2">
        <f>HYPERLINK("https://sao.dolgi.msk.ru/account/1404192701/", 1404192701)</f>
        <v>1404192701</v>
      </c>
      <c r="D9320">
        <v>-2327.84</v>
      </c>
    </row>
    <row r="9321" spans="1:4" hidden="1" x14ac:dyDescent="0.25">
      <c r="A9321" t="s">
        <v>693</v>
      </c>
      <c r="B9321" t="s">
        <v>79</v>
      </c>
      <c r="C9321" s="2">
        <f>HYPERLINK("https://sao.dolgi.msk.ru/account/1404193034/", 1404193034)</f>
        <v>1404193034</v>
      </c>
      <c r="D9321">
        <v>0</v>
      </c>
    </row>
    <row r="9322" spans="1:4" hidden="1" x14ac:dyDescent="0.25">
      <c r="A9322" t="s">
        <v>693</v>
      </c>
      <c r="B9322" t="s">
        <v>80</v>
      </c>
      <c r="C9322" s="2">
        <f>HYPERLINK("https://sao.dolgi.msk.ru/account/1404192293/", 1404192293)</f>
        <v>1404192293</v>
      </c>
      <c r="D9322">
        <v>0</v>
      </c>
    </row>
    <row r="9323" spans="1:4" hidden="1" x14ac:dyDescent="0.25">
      <c r="A9323" t="s">
        <v>693</v>
      </c>
      <c r="B9323" t="s">
        <v>81</v>
      </c>
      <c r="C9323" s="2">
        <f>HYPERLINK("https://sao.dolgi.msk.ru/account/1404192728/", 1404192728)</f>
        <v>1404192728</v>
      </c>
      <c r="D9323">
        <v>-7002.62</v>
      </c>
    </row>
    <row r="9324" spans="1:4" hidden="1" x14ac:dyDescent="0.25">
      <c r="A9324" t="s">
        <v>693</v>
      </c>
      <c r="B9324" t="s">
        <v>82</v>
      </c>
      <c r="C9324" s="2">
        <f>HYPERLINK("https://sao.dolgi.msk.ru/account/1404192509/", 1404192509)</f>
        <v>1404192509</v>
      </c>
      <c r="D9324">
        <v>0</v>
      </c>
    </row>
    <row r="9325" spans="1:4" hidden="1" x14ac:dyDescent="0.25">
      <c r="A9325" t="s">
        <v>693</v>
      </c>
      <c r="B9325" t="s">
        <v>82</v>
      </c>
      <c r="C9325" s="2">
        <f>HYPERLINK("https://sao.dolgi.msk.ru/account/1404193114/", 1404193114)</f>
        <v>1404193114</v>
      </c>
      <c r="D9325">
        <v>0</v>
      </c>
    </row>
    <row r="9326" spans="1:4" hidden="1" x14ac:dyDescent="0.25">
      <c r="A9326" t="s">
        <v>693</v>
      </c>
      <c r="B9326" t="s">
        <v>83</v>
      </c>
      <c r="C9326" s="2">
        <f>HYPERLINK("https://sao.dolgi.msk.ru/account/1404193456/", 1404193456)</f>
        <v>1404193456</v>
      </c>
      <c r="D9326">
        <v>-3650.16</v>
      </c>
    </row>
    <row r="9327" spans="1:4" hidden="1" x14ac:dyDescent="0.25">
      <c r="A9327" t="s">
        <v>693</v>
      </c>
      <c r="B9327" t="s">
        <v>84</v>
      </c>
      <c r="C9327" s="2">
        <f>HYPERLINK("https://sao.dolgi.msk.ru/account/1404192736/", 1404192736)</f>
        <v>1404192736</v>
      </c>
      <c r="D9327">
        <v>-3878.05</v>
      </c>
    </row>
    <row r="9328" spans="1:4" hidden="1" x14ac:dyDescent="0.25">
      <c r="A9328" t="s">
        <v>693</v>
      </c>
      <c r="B9328" t="s">
        <v>84</v>
      </c>
      <c r="C9328" s="2">
        <f>HYPERLINK("https://sao.dolgi.msk.ru/account/1404193042/", 1404193042)</f>
        <v>1404193042</v>
      </c>
      <c r="D9328">
        <v>-1857.64</v>
      </c>
    </row>
    <row r="9329" spans="1:4" hidden="1" x14ac:dyDescent="0.25">
      <c r="A9329" t="s">
        <v>693</v>
      </c>
      <c r="B9329" t="s">
        <v>85</v>
      </c>
      <c r="C9329" s="2">
        <f>HYPERLINK("https://sao.dolgi.msk.ru/account/1404192314/", 1404192314)</f>
        <v>1404192314</v>
      </c>
      <c r="D9329">
        <v>-6518.77</v>
      </c>
    </row>
    <row r="9330" spans="1:4" hidden="1" x14ac:dyDescent="0.25">
      <c r="A9330" t="s">
        <v>693</v>
      </c>
      <c r="B9330" t="s">
        <v>86</v>
      </c>
      <c r="C9330" s="2">
        <f>HYPERLINK("https://sao.dolgi.msk.ru/account/1404192517/", 1404192517)</f>
        <v>1404192517</v>
      </c>
      <c r="D9330">
        <v>-6943.56</v>
      </c>
    </row>
    <row r="9331" spans="1:4" x14ac:dyDescent="0.25">
      <c r="A9331" t="s">
        <v>693</v>
      </c>
      <c r="B9331" t="s">
        <v>87</v>
      </c>
      <c r="C9331" s="2">
        <f>HYPERLINK("https://sao.dolgi.msk.ru/account/1404192912/", 1404192912)</f>
        <v>1404192912</v>
      </c>
      <c r="D9331">
        <v>15993.82</v>
      </c>
    </row>
    <row r="9332" spans="1:4" hidden="1" x14ac:dyDescent="0.25">
      <c r="A9332" t="s">
        <v>693</v>
      </c>
      <c r="B9332" t="s">
        <v>88</v>
      </c>
      <c r="C9332" s="2">
        <f>HYPERLINK("https://sao.dolgi.msk.ru/account/1404193464/", 1404193464)</f>
        <v>1404193464</v>
      </c>
      <c r="D9332">
        <v>-10283.36</v>
      </c>
    </row>
    <row r="9333" spans="1:4" hidden="1" x14ac:dyDescent="0.25">
      <c r="A9333" t="s">
        <v>693</v>
      </c>
      <c r="B9333" t="s">
        <v>89</v>
      </c>
      <c r="C9333" s="2">
        <f>HYPERLINK("https://sao.dolgi.msk.ru/account/1404192066/", 1404192066)</f>
        <v>1404192066</v>
      </c>
      <c r="D9333">
        <v>0</v>
      </c>
    </row>
    <row r="9334" spans="1:4" hidden="1" x14ac:dyDescent="0.25">
      <c r="A9334" t="s">
        <v>693</v>
      </c>
      <c r="B9334" t="s">
        <v>90</v>
      </c>
      <c r="C9334" s="2">
        <f>HYPERLINK("https://sao.dolgi.msk.ru/account/1404193069/", 1404193069)</f>
        <v>1404193069</v>
      </c>
      <c r="D9334">
        <v>-4303.55</v>
      </c>
    </row>
    <row r="9335" spans="1:4" hidden="1" x14ac:dyDescent="0.25">
      <c r="A9335" t="s">
        <v>693</v>
      </c>
      <c r="B9335" t="s">
        <v>91</v>
      </c>
      <c r="C9335" s="2">
        <f>HYPERLINK("https://sao.dolgi.msk.ru/account/1404193472/", 1404193472)</f>
        <v>1404193472</v>
      </c>
      <c r="D9335">
        <v>-3042.79</v>
      </c>
    </row>
    <row r="9336" spans="1:4" x14ac:dyDescent="0.25">
      <c r="A9336" t="s">
        <v>693</v>
      </c>
      <c r="B9336" t="s">
        <v>92</v>
      </c>
      <c r="C9336" s="2">
        <f>HYPERLINK("https://sao.dolgi.msk.ru/account/1404192533/", 1404192533)</f>
        <v>1404192533</v>
      </c>
      <c r="D9336">
        <v>18661.93</v>
      </c>
    </row>
    <row r="9337" spans="1:4" hidden="1" x14ac:dyDescent="0.25">
      <c r="A9337" t="s">
        <v>693</v>
      </c>
      <c r="B9337" t="s">
        <v>93</v>
      </c>
      <c r="C9337" s="2">
        <f>HYPERLINK("https://sao.dolgi.msk.ru/account/1404192349/", 1404192349)</f>
        <v>1404192349</v>
      </c>
      <c r="D9337">
        <v>-4763.68</v>
      </c>
    </row>
    <row r="9338" spans="1:4" hidden="1" x14ac:dyDescent="0.25">
      <c r="A9338" t="s">
        <v>693</v>
      </c>
      <c r="B9338" t="s">
        <v>94</v>
      </c>
      <c r="C9338" s="2">
        <f>HYPERLINK("https://sao.dolgi.msk.ru/account/1404192955/", 1404192955)</f>
        <v>1404192955</v>
      </c>
      <c r="D9338">
        <v>-5706.69</v>
      </c>
    </row>
    <row r="9339" spans="1:4" x14ac:dyDescent="0.25">
      <c r="A9339" t="s">
        <v>693</v>
      </c>
      <c r="B9339" t="s">
        <v>95</v>
      </c>
      <c r="C9339" s="2">
        <f>HYPERLINK("https://sao.dolgi.msk.ru/account/1404193077/", 1404193077)</f>
        <v>1404193077</v>
      </c>
      <c r="D9339">
        <v>2773.66</v>
      </c>
    </row>
    <row r="9340" spans="1:4" hidden="1" x14ac:dyDescent="0.25">
      <c r="A9340" t="s">
        <v>693</v>
      </c>
      <c r="B9340" t="s">
        <v>96</v>
      </c>
      <c r="C9340" s="2">
        <f>HYPERLINK("https://sao.dolgi.msk.ru/account/1404193085/", 1404193085)</f>
        <v>1404193085</v>
      </c>
      <c r="D9340">
        <v>-7957.33</v>
      </c>
    </row>
    <row r="9341" spans="1:4" x14ac:dyDescent="0.25">
      <c r="A9341" t="s">
        <v>693</v>
      </c>
      <c r="B9341" t="s">
        <v>97</v>
      </c>
      <c r="C9341" s="2">
        <f>HYPERLINK("https://sao.dolgi.msk.ru/account/1404192138/", 1404192138)</f>
        <v>1404192138</v>
      </c>
      <c r="D9341">
        <v>77378.2</v>
      </c>
    </row>
    <row r="9342" spans="1:4" x14ac:dyDescent="0.25">
      <c r="A9342" t="s">
        <v>693</v>
      </c>
      <c r="B9342" t="s">
        <v>98</v>
      </c>
      <c r="C9342" s="2">
        <f>HYPERLINK("https://sao.dolgi.msk.ru/account/1404192541/", 1404192541)</f>
        <v>1404192541</v>
      </c>
      <c r="D9342">
        <v>60545.72</v>
      </c>
    </row>
    <row r="9343" spans="1:4" hidden="1" x14ac:dyDescent="0.25">
      <c r="A9343" t="s">
        <v>693</v>
      </c>
      <c r="B9343" t="s">
        <v>99</v>
      </c>
      <c r="C9343" s="2">
        <f>HYPERLINK("https://sao.dolgi.msk.ru/account/1404192808/", 1404192808)</f>
        <v>1404192808</v>
      </c>
      <c r="D9343">
        <v>-6122.13</v>
      </c>
    </row>
    <row r="9344" spans="1:4" hidden="1" x14ac:dyDescent="0.25">
      <c r="A9344" t="s">
        <v>693</v>
      </c>
      <c r="B9344" t="s">
        <v>100</v>
      </c>
      <c r="C9344" s="2">
        <f>HYPERLINK("https://sao.dolgi.msk.ru/account/1404192816/", 1404192816)</f>
        <v>1404192816</v>
      </c>
      <c r="D9344">
        <v>-7759.53</v>
      </c>
    </row>
    <row r="9345" spans="1:4" hidden="1" x14ac:dyDescent="0.25">
      <c r="A9345" t="s">
        <v>693</v>
      </c>
      <c r="B9345" t="s">
        <v>101</v>
      </c>
      <c r="C9345" s="2">
        <f>HYPERLINK("https://sao.dolgi.msk.ru/account/1404192592/", 1404192592)</f>
        <v>1404192592</v>
      </c>
      <c r="D9345">
        <v>0</v>
      </c>
    </row>
    <row r="9346" spans="1:4" hidden="1" x14ac:dyDescent="0.25">
      <c r="A9346" t="s">
        <v>693</v>
      </c>
      <c r="B9346" t="s">
        <v>102</v>
      </c>
      <c r="C9346" s="2">
        <f>HYPERLINK("https://sao.dolgi.msk.ru/account/1404193579/", 1404193579)</f>
        <v>1404193579</v>
      </c>
      <c r="D9346">
        <v>0</v>
      </c>
    </row>
    <row r="9347" spans="1:4" hidden="1" x14ac:dyDescent="0.25">
      <c r="A9347" t="s">
        <v>693</v>
      </c>
      <c r="B9347" t="s">
        <v>103</v>
      </c>
      <c r="C9347" s="2">
        <f>HYPERLINK("https://sao.dolgi.msk.ru/account/1404193587/", 1404193587)</f>
        <v>1404193587</v>
      </c>
      <c r="D9347">
        <v>-7636.52</v>
      </c>
    </row>
    <row r="9348" spans="1:4" hidden="1" x14ac:dyDescent="0.25">
      <c r="A9348" t="s">
        <v>693</v>
      </c>
      <c r="B9348" t="s">
        <v>104</v>
      </c>
      <c r="C9348" s="2">
        <f>HYPERLINK("https://sao.dolgi.msk.ru/account/1404193405/", 1404193405)</f>
        <v>1404193405</v>
      </c>
      <c r="D9348">
        <v>-4502.87</v>
      </c>
    </row>
    <row r="9349" spans="1:4" hidden="1" x14ac:dyDescent="0.25">
      <c r="A9349" t="s">
        <v>693</v>
      </c>
      <c r="B9349" t="s">
        <v>105</v>
      </c>
      <c r="C9349" s="2">
        <f>HYPERLINK("https://sao.dolgi.msk.ru/account/1404192656/", 1404192656)</f>
        <v>1404192656</v>
      </c>
      <c r="D9349">
        <v>-6762.58</v>
      </c>
    </row>
    <row r="9350" spans="1:4" hidden="1" x14ac:dyDescent="0.25">
      <c r="A9350" t="s">
        <v>693</v>
      </c>
      <c r="B9350" t="s">
        <v>106</v>
      </c>
      <c r="C9350" s="2">
        <f>HYPERLINK("https://sao.dolgi.msk.ru/account/1404192488/", 1404192488)</f>
        <v>1404192488</v>
      </c>
      <c r="D9350">
        <v>-4113.93</v>
      </c>
    </row>
    <row r="9351" spans="1:4" hidden="1" x14ac:dyDescent="0.25">
      <c r="A9351" t="s">
        <v>693</v>
      </c>
      <c r="B9351" t="s">
        <v>107</v>
      </c>
      <c r="C9351" s="2">
        <f>HYPERLINK("https://sao.dolgi.msk.ru/account/1404193026/", 1404193026)</f>
        <v>1404193026</v>
      </c>
      <c r="D9351">
        <v>-6501.73</v>
      </c>
    </row>
    <row r="9352" spans="1:4" hidden="1" x14ac:dyDescent="0.25">
      <c r="A9352" t="s">
        <v>693</v>
      </c>
      <c r="B9352" t="s">
        <v>108</v>
      </c>
      <c r="C9352" s="2">
        <f>HYPERLINK("https://sao.dolgi.msk.ru/account/1404193413/", 1404193413)</f>
        <v>1404193413</v>
      </c>
      <c r="D9352">
        <v>0</v>
      </c>
    </row>
    <row r="9353" spans="1:4" hidden="1" x14ac:dyDescent="0.25">
      <c r="A9353" t="s">
        <v>693</v>
      </c>
      <c r="B9353" t="s">
        <v>109</v>
      </c>
      <c r="C9353" s="2">
        <f>HYPERLINK("https://sao.dolgi.msk.ru/account/1404193421/", 1404193421)</f>
        <v>1404193421</v>
      </c>
      <c r="D9353">
        <v>-7034.7</v>
      </c>
    </row>
    <row r="9354" spans="1:4" hidden="1" x14ac:dyDescent="0.25">
      <c r="A9354" t="s">
        <v>693</v>
      </c>
      <c r="B9354" t="s">
        <v>110</v>
      </c>
      <c r="C9354" s="2">
        <f>HYPERLINK("https://sao.dolgi.msk.ru/account/1404193675/", 1404193675)</f>
        <v>1404193675</v>
      </c>
      <c r="D9354">
        <v>0</v>
      </c>
    </row>
    <row r="9355" spans="1:4" hidden="1" x14ac:dyDescent="0.25">
      <c r="A9355" t="s">
        <v>693</v>
      </c>
      <c r="B9355" t="s">
        <v>111</v>
      </c>
      <c r="C9355" s="2">
        <f>HYPERLINK("https://sao.dolgi.msk.ru/account/1404192496/", 1404192496)</f>
        <v>1404192496</v>
      </c>
      <c r="D9355">
        <v>-6898.89</v>
      </c>
    </row>
    <row r="9356" spans="1:4" hidden="1" x14ac:dyDescent="0.25">
      <c r="A9356" t="s">
        <v>693</v>
      </c>
      <c r="B9356" t="s">
        <v>112</v>
      </c>
      <c r="C9356" s="2">
        <f>HYPERLINK("https://sao.dolgi.msk.ru/account/1404192891/", 1404192891)</f>
        <v>1404192891</v>
      </c>
      <c r="D9356">
        <v>-5983.72</v>
      </c>
    </row>
    <row r="9357" spans="1:4" hidden="1" x14ac:dyDescent="0.25">
      <c r="A9357" t="s">
        <v>693</v>
      </c>
      <c r="B9357" t="s">
        <v>113</v>
      </c>
      <c r="C9357" s="2">
        <f>HYPERLINK("https://sao.dolgi.msk.ru/account/1404193683/", 1404193683)</f>
        <v>1404193683</v>
      </c>
      <c r="D9357">
        <v>-5759.31</v>
      </c>
    </row>
    <row r="9358" spans="1:4" hidden="1" x14ac:dyDescent="0.25">
      <c r="A9358" t="s">
        <v>693</v>
      </c>
      <c r="B9358" t="s">
        <v>114</v>
      </c>
      <c r="C9358" s="2">
        <f>HYPERLINK("https://sao.dolgi.msk.ru/account/1404193448/", 1404193448)</f>
        <v>1404193448</v>
      </c>
      <c r="D9358">
        <v>-4509.71</v>
      </c>
    </row>
    <row r="9359" spans="1:4" hidden="1" x14ac:dyDescent="0.25">
      <c r="A9359" t="s">
        <v>693</v>
      </c>
      <c r="B9359" t="s">
        <v>115</v>
      </c>
      <c r="C9359" s="2">
        <f>HYPERLINK("https://sao.dolgi.msk.ru/account/1404193122/", 1404193122)</f>
        <v>1404193122</v>
      </c>
      <c r="D9359">
        <v>0</v>
      </c>
    </row>
    <row r="9360" spans="1:4" hidden="1" x14ac:dyDescent="0.25">
      <c r="A9360" t="s">
        <v>693</v>
      </c>
      <c r="B9360" t="s">
        <v>116</v>
      </c>
      <c r="C9360" s="2">
        <f>HYPERLINK("https://sao.dolgi.msk.ru/account/1404192074/", 1404192074)</f>
        <v>1404192074</v>
      </c>
      <c r="D9360">
        <v>0</v>
      </c>
    </row>
    <row r="9361" spans="1:4" hidden="1" x14ac:dyDescent="0.25">
      <c r="A9361" t="s">
        <v>693</v>
      </c>
      <c r="B9361" t="s">
        <v>116</v>
      </c>
      <c r="C9361" s="2">
        <f>HYPERLINK("https://sao.dolgi.msk.ru/account/1404193245/", 1404193245)</f>
        <v>1404193245</v>
      </c>
      <c r="D9361">
        <v>0</v>
      </c>
    </row>
    <row r="9362" spans="1:4" hidden="1" x14ac:dyDescent="0.25">
      <c r="A9362" t="s">
        <v>693</v>
      </c>
      <c r="B9362" t="s">
        <v>117</v>
      </c>
      <c r="C9362" s="2">
        <f>HYPERLINK("https://sao.dolgi.msk.ru/account/1404193376/", 1404193376)</f>
        <v>1404193376</v>
      </c>
      <c r="D9362">
        <v>-6545.13</v>
      </c>
    </row>
    <row r="9363" spans="1:4" hidden="1" x14ac:dyDescent="0.25">
      <c r="A9363" t="s">
        <v>693</v>
      </c>
      <c r="B9363" t="s">
        <v>118</v>
      </c>
      <c r="C9363" s="2">
        <f>HYPERLINK("https://sao.dolgi.msk.ru/account/1404193384/", 1404193384)</f>
        <v>1404193384</v>
      </c>
      <c r="D9363">
        <v>-3896.59</v>
      </c>
    </row>
    <row r="9364" spans="1:4" hidden="1" x14ac:dyDescent="0.25">
      <c r="A9364" t="s">
        <v>693</v>
      </c>
      <c r="B9364" t="s">
        <v>119</v>
      </c>
      <c r="C9364" s="2">
        <f>HYPERLINK("https://sao.dolgi.msk.ru/account/1404192218/", 1404192218)</f>
        <v>1404192218</v>
      </c>
      <c r="D9364">
        <v>-8817.02</v>
      </c>
    </row>
    <row r="9365" spans="1:4" x14ac:dyDescent="0.25">
      <c r="A9365" t="s">
        <v>693</v>
      </c>
      <c r="B9365" t="s">
        <v>120</v>
      </c>
      <c r="C9365" s="2">
        <f>HYPERLINK("https://sao.dolgi.msk.ru/account/1404192605/", 1404192605)</f>
        <v>1404192605</v>
      </c>
      <c r="D9365">
        <v>19303.099999999999</v>
      </c>
    </row>
    <row r="9366" spans="1:4" hidden="1" x14ac:dyDescent="0.25">
      <c r="A9366" t="s">
        <v>693</v>
      </c>
      <c r="B9366" t="s">
        <v>121</v>
      </c>
      <c r="C9366" s="2">
        <f>HYPERLINK("https://sao.dolgi.msk.ru/account/1404193595/", 1404193595)</f>
        <v>1404193595</v>
      </c>
      <c r="D9366">
        <v>-8241</v>
      </c>
    </row>
    <row r="9367" spans="1:4" hidden="1" x14ac:dyDescent="0.25">
      <c r="A9367" t="s">
        <v>693</v>
      </c>
      <c r="B9367" t="s">
        <v>122</v>
      </c>
      <c r="C9367" s="2">
        <f>HYPERLINK("https://sao.dolgi.msk.ru/account/1404193608/", 1404193608)</f>
        <v>1404193608</v>
      </c>
      <c r="D9367">
        <v>-6266.21</v>
      </c>
    </row>
    <row r="9368" spans="1:4" hidden="1" x14ac:dyDescent="0.25">
      <c r="A9368" t="s">
        <v>693</v>
      </c>
      <c r="B9368" t="s">
        <v>123</v>
      </c>
      <c r="C9368" s="2">
        <f>HYPERLINK("https://sao.dolgi.msk.ru/account/1404192963/", 1404192963)</f>
        <v>1404192963</v>
      </c>
      <c r="D9368">
        <v>0</v>
      </c>
    </row>
    <row r="9369" spans="1:4" hidden="1" x14ac:dyDescent="0.25">
      <c r="A9369" t="s">
        <v>693</v>
      </c>
      <c r="B9369" t="s">
        <v>124</v>
      </c>
      <c r="C9369" s="2">
        <f>HYPERLINK("https://sao.dolgi.msk.ru/account/1404192429/", 1404192429)</f>
        <v>1404192429</v>
      </c>
      <c r="D9369">
        <v>0</v>
      </c>
    </row>
    <row r="9370" spans="1:4" hidden="1" x14ac:dyDescent="0.25">
      <c r="A9370" t="s">
        <v>693</v>
      </c>
      <c r="B9370" t="s">
        <v>125</v>
      </c>
      <c r="C9370" s="2">
        <f>HYPERLINK("https://sao.dolgi.msk.ru/account/1404193149/", 1404193149)</f>
        <v>1404193149</v>
      </c>
      <c r="D9370">
        <v>-6544.69</v>
      </c>
    </row>
    <row r="9371" spans="1:4" x14ac:dyDescent="0.25">
      <c r="A9371" t="s">
        <v>693</v>
      </c>
      <c r="B9371" t="s">
        <v>126</v>
      </c>
      <c r="C9371" s="2">
        <f>HYPERLINK("https://sao.dolgi.msk.ru/account/1404192277/", 1404192277)</f>
        <v>1404192277</v>
      </c>
      <c r="D9371">
        <v>431.21</v>
      </c>
    </row>
    <row r="9372" spans="1:4" x14ac:dyDescent="0.25">
      <c r="A9372" t="s">
        <v>693</v>
      </c>
      <c r="B9372" t="s">
        <v>126</v>
      </c>
      <c r="C9372" s="2">
        <f>HYPERLINK("https://sao.dolgi.msk.ru/account/1404193616/", 1404193616)</f>
        <v>1404193616</v>
      </c>
      <c r="D9372">
        <v>862.42</v>
      </c>
    </row>
    <row r="9373" spans="1:4" hidden="1" x14ac:dyDescent="0.25">
      <c r="A9373" t="s">
        <v>693</v>
      </c>
      <c r="B9373" t="s">
        <v>127</v>
      </c>
      <c r="C9373" s="2">
        <f>HYPERLINK("https://sao.dolgi.msk.ru/account/1404193157/", 1404193157)</f>
        <v>1404193157</v>
      </c>
      <c r="D9373">
        <v>-6369.6</v>
      </c>
    </row>
    <row r="9374" spans="1:4" hidden="1" x14ac:dyDescent="0.25">
      <c r="A9374" t="s">
        <v>693</v>
      </c>
      <c r="B9374" t="s">
        <v>128</v>
      </c>
      <c r="C9374" s="2">
        <f>HYPERLINK("https://sao.dolgi.msk.ru/account/1404192234/", 1404192234)</f>
        <v>1404192234</v>
      </c>
      <c r="D9374">
        <v>-7754.2</v>
      </c>
    </row>
    <row r="9375" spans="1:4" hidden="1" x14ac:dyDescent="0.25">
      <c r="A9375" t="s">
        <v>693</v>
      </c>
      <c r="B9375" t="s">
        <v>129</v>
      </c>
      <c r="C9375" s="2">
        <f>HYPERLINK("https://sao.dolgi.msk.ru/account/1404192285/", 1404192285)</f>
        <v>1404192285</v>
      </c>
      <c r="D9375">
        <v>-9659.15</v>
      </c>
    </row>
    <row r="9376" spans="1:4" hidden="1" x14ac:dyDescent="0.25">
      <c r="A9376" t="s">
        <v>693</v>
      </c>
      <c r="B9376" t="s">
        <v>129</v>
      </c>
      <c r="C9376" s="2">
        <f>HYPERLINK("https://sao.dolgi.msk.ru/account/1404193552/", 1404193552)</f>
        <v>1404193552</v>
      </c>
      <c r="D9376">
        <v>-3137.37</v>
      </c>
    </row>
    <row r="9377" spans="1:4" x14ac:dyDescent="0.25">
      <c r="A9377" t="s">
        <v>693</v>
      </c>
      <c r="B9377" t="s">
        <v>130</v>
      </c>
      <c r="C9377" s="2">
        <f>HYPERLINK("https://sao.dolgi.msk.ru/account/1404192058/", 1404192058)</f>
        <v>1404192058</v>
      </c>
      <c r="D9377">
        <v>21097.21</v>
      </c>
    </row>
    <row r="9378" spans="1:4" hidden="1" x14ac:dyDescent="0.25">
      <c r="A9378" t="s">
        <v>693</v>
      </c>
      <c r="B9378" t="s">
        <v>131</v>
      </c>
      <c r="C9378" s="2">
        <f>HYPERLINK("https://sao.dolgi.msk.ru/account/1404192664/", 1404192664)</f>
        <v>1404192664</v>
      </c>
      <c r="D9378">
        <v>0</v>
      </c>
    </row>
    <row r="9379" spans="1:4" hidden="1" x14ac:dyDescent="0.25">
      <c r="A9379" t="s">
        <v>693</v>
      </c>
      <c r="B9379" t="s">
        <v>132</v>
      </c>
      <c r="C9379" s="2">
        <f>HYPERLINK("https://sao.dolgi.msk.ru/account/1404193261/", 1404193261)</f>
        <v>1404193261</v>
      </c>
      <c r="D9379">
        <v>-7827.92</v>
      </c>
    </row>
    <row r="9380" spans="1:4" x14ac:dyDescent="0.25">
      <c r="A9380" t="s">
        <v>694</v>
      </c>
      <c r="B9380" t="s">
        <v>5</v>
      </c>
      <c r="C9380" s="2">
        <f>HYPERLINK("https://sao.dolgi.msk.ru/account/1404274213/", 1404274213)</f>
        <v>1404274213</v>
      </c>
      <c r="D9380">
        <v>1880.13</v>
      </c>
    </row>
    <row r="9381" spans="1:4" hidden="1" x14ac:dyDescent="0.25">
      <c r="A9381" t="s">
        <v>694</v>
      </c>
      <c r="B9381" t="s">
        <v>6</v>
      </c>
      <c r="C9381" s="2">
        <f>HYPERLINK("https://sao.dolgi.msk.ru/account/1404278599/", 1404278599)</f>
        <v>1404278599</v>
      </c>
      <c r="D9381">
        <v>-3822.34</v>
      </c>
    </row>
    <row r="9382" spans="1:4" hidden="1" x14ac:dyDescent="0.25">
      <c r="A9382" t="s">
        <v>694</v>
      </c>
      <c r="B9382" t="s">
        <v>7</v>
      </c>
      <c r="C9382" s="2">
        <f>HYPERLINK("https://sao.dolgi.msk.ru/account/1404279268/", 1404279268)</f>
        <v>1404279268</v>
      </c>
      <c r="D9382">
        <v>-3574.69</v>
      </c>
    </row>
    <row r="9383" spans="1:4" hidden="1" x14ac:dyDescent="0.25">
      <c r="A9383" t="s">
        <v>694</v>
      </c>
      <c r="B9383" t="s">
        <v>8</v>
      </c>
      <c r="C9383" s="2">
        <f>HYPERLINK("https://sao.dolgi.msk.ru/account/1404273464/", 1404273464)</f>
        <v>1404273464</v>
      </c>
      <c r="D9383">
        <v>-6952.21</v>
      </c>
    </row>
    <row r="9384" spans="1:4" hidden="1" x14ac:dyDescent="0.25">
      <c r="A9384" t="s">
        <v>694</v>
      </c>
      <c r="B9384" t="s">
        <v>9</v>
      </c>
      <c r="C9384" s="2">
        <f>HYPERLINK("https://sao.dolgi.msk.ru/account/1404275005/", 1404275005)</f>
        <v>1404275005</v>
      </c>
      <c r="D9384">
        <v>-6648.76</v>
      </c>
    </row>
    <row r="9385" spans="1:4" hidden="1" x14ac:dyDescent="0.25">
      <c r="A9385" t="s">
        <v>694</v>
      </c>
      <c r="B9385" t="s">
        <v>10</v>
      </c>
      <c r="C9385" s="2">
        <f>HYPERLINK("https://sao.dolgi.msk.ru/account/1404273317/", 1404273317)</f>
        <v>1404273317</v>
      </c>
      <c r="D9385">
        <v>0</v>
      </c>
    </row>
    <row r="9386" spans="1:4" x14ac:dyDescent="0.25">
      <c r="A9386" t="s">
        <v>694</v>
      </c>
      <c r="B9386" t="s">
        <v>11</v>
      </c>
      <c r="C9386" s="2">
        <f>HYPERLINK("https://sao.dolgi.msk.ru/account/1404278679/", 1404278679)</f>
        <v>1404278679</v>
      </c>
      <c r="D9386">
        <v>27228.25</v>
      </c>
    </row>
    <row r="9387" spans="1:4" hidden="1" x14ac:dyDescent="0.25">
      <c r="A9387" t="s">
        <v>694</v>
      </c>
      <c r="B9387" t="s">
        <v>12</v>
      </c>
      <c r="C9387" s="2">
        <f>HYPERLINK("https://sao.dolgi.msk.ru/account/1404276235/", 1404276235)</f>
        <v>1404276235</v>
      </c>
      <c r="D9387">
        <v>-7343.1</v>
      </c>
    </row>
    <row r="9388" spans="1:4" x14ac:dyDescent="0.25">
      <c r="A9388" t="s">
        <v>694</v>
      </c>
      <c r="B9388" t="s">
        <v>13</v>
      </c>
      <c r="C9388" s="2">
        <f>HYPERLINK("https://sao.dolgi.msk.ru/account/1404277887/", 1404277887)</f>
        <v>1404277887</v>
      </c>
      <c r="D9388">
        <v>25481.69</v>
      </c>
    </row>
    <row r="9389" spans="1:4" x14ac:dyDescent="0.25">
      <c r="A9389" t="s">
        <v>694</v>
      </c>
      <c r="B9389" t="s">
        <v>14</v>
      </c>
      <c r="C9389" s="2">
        <f>HYPERLINK("https://sao.dolgi.msk.ru/account/1404273368/", 1404273368)</f>
        <v>1404273368</v>
      </c>
      <c r="D9389">
        <v>13784.07</v>
      </c>
    </row>
    <row r="9390" spans="1:4" hidden="1" x14ac:dyDescent="0.25">
      <c r="A9390" t="s">
        <v>694</v>
      </c>
      <c r="B9390" t="s">
        <v>15</v>
      </c>
      <c r="C9390" s="2">
        <f>HYPERLINK("https://sao.dolgi.msk.ru/account/1404275726/", 1404275726)</f>
        <v>1404275726</v>
      </c>
      <c r="D9390">
        <v>-3583.37</v>
      </c>
    </row>
    <row r="9391" spans="1:4" hidden="1" x14ac:dyDescent="0.25">
      <c r="A9391" t="s">
        <v>694</v>
      </c>
      <c r="B9391" t="s">
        <v>16</v>
      </c>
      <c r="C9391" s="2">
        <f>HYPERLINK("https://sao.dolgi.msk.ru/account/1404278265/", 1404278265)</f>
        <v>1404278265</v>
      </c>
      <c r="D9391">
        <v>0</v>
      </c>
    </row>
    <row r="9392" spans="1:4" x14ac:dyDescent="0.25">
      <c r="A9392" t="s">
        <v>694</v>
      </c>
      <c r="B9392" t="s">
        <v>17</v>
      </c>
      <c r="C9392" s="2">
        <f>HYPERLINK("https://sao.dolgi.msk.ru/account/1404277748/", 1404277748)</f>
        <v>1404277748</v>
      </c>
      <c r="D9392">
        <v>4725.45</v>
      </c>
    </row>
    <row r="9393" spans="1:4" hidden="1" x14ac:dyDescent="0.25">
      <c r="A9393" t="s">
        <v>694</v>
      </c>
      <c r="B9393" t="s">
        <v>18</v>
      </c>
      <c r="C9393" s="2">
        <f>HYPERLINK("https://sao.dolgi.msk.ru/account/1404277967/", 1404277967)</f>
        <v>1404277967</v>
      </c>
      <c r="D9393">
        <v>-2485.52</v>
      </c>
    </row>
    <row r="9394" spans="1:4" x14ac:dyDescent="0.25">
      <c r="A9394" t="s">
        <v>694</v>
      </c>
      <c r="B9394" t="s">
        <v>19</v>
      </c>
      <c r="C9394" s="2">
        <f>HYPERLINK("https://sao.dolgi.msk.ru/account/1404274651/", 1404274651)</f>
        <v>1404274651</v>
      </c>
      <c r="D9394">
        <v>15682.37</v>
      </c>
    </row>
    <row r="9395" spans="1:4" hidden="1" x14ac:dyDescent="0.25">
      <c r="A9395" t="s">
        <v>694</v>
      </c>
      <c r="B9395" t="s">
        <v>20</v>
      </c>
      <c r="C9395" s="2">
        <f>HYPERLINK("https://sao.dolgi.msk.ru/account/1404273675/", 1404273675)</f>
        <v>1404273675</v>
      </c>
      <c r="D9395">
        <v>-192.48</v>
      </c>
    </row>
    <row r="9396" spans="1:4" hidden="1" x14ac:dyDescent="0.25">
      <c r="A9396" t="s">
        <v>694</v>
      </c>
      <c r="B9396" t="s">
        <v>21</v>
      </c>
      <c r="C9396" s="2">
        <f>HYPERLINK("https://sao.dolgi.msk.ru/account/1404278337/", 1404278337)</f>
        <v>1404278337</v>
      </c>
      <c r="D9396">
        <v>0</v>
      </c>
    </row>
    <row r="9397" spans="1:4" hidden="1" x14ac:dyDescent="0.25">
      <c r="A9397" t="s">
        <v>694</v>
      </c>
      <c r="B9397" t="s">
        <v>22</v>
      </c>
      <c r="C9397" s="2">
        <f>HYPERLINK("https://sao.dolgi.msk.ru/account/1404274467/", 1404274467)</f>
        <v>1404274467</v>
      </c>
      <c r="D9397">
        <v>-4844.41</v>
      </c>
    </row>
    <row r="9398" spans="1:4" hidden="1" x14ac:dyDescent="0.25">
      <c r="A9398" t="s">
        <v>694</v>
      </c>
      <c r="B9398" t="s">
        <v>23</v>
      </c>
      <c r="C9398" s="2">
        <f>HYPERLINK("https://sao.dolgi.msk.ru/account/1404275312/", 1404275312)</f>
        <v>1404275312</v>
      </c>
      <c r="D9398">
        <v>0</v>
      </c>
    </row>
    <row r="9399" spans="1:4" hidden="1" x14ac:dyDescent="0.25">
      <c r="A9399" t="s">
        <v>694</v>
      </c>
      <c r="B9399" t="s">
        <v>24</v>
      </c>
      <c r="C9399" s="2">
        <f>HYPERLINK("https://sao.dolgi.msk.ru/account/1404275427/", 1404275427)</f>
        <v>1404275427</v>
      </c>
      <c r="D9399">
        <v>0</v>
      </c>
    </row>
    <row r="9400" spans="1:4" hidden="1" x14ac:dyDescent="0.25">
      <c r="A9400" t="s">
        <v>694</v>
      </c>
      <c r="B9400" t="s">
        <v>25</v>
      </c>
      <c r="C9400" s="2">
        <f>HYPERLINK("https://sao.dolgi.msk.ru/account/1404274643/", 1404274643)</f>
        <v>1404274643</v>
      </c>
      <c r="D9400">
        <v>-6506.03</v>
      </c>
    </row>
    <row r="9401" spans="1:4" hidden="1" x14ac:dyDescent="0.25">
      <c r="A9401" t="s">
        <v>694</v>
      </c>
      <c r="B9401" t="s">
        <v>26</v>
      </c>
      <c r="C9401" s="2">
        <f>HYPERLINK("https://sao.dolgi.msk.ru/account/1404274694/", 1404274694)</f>
        <v>1404274694</v>
      </c>
      <c r="D9401">
        <v>-3823.65</v>
      </c>
    </row>
    <row r="9402" spans="1:4" hidden="1" x14ac:dyDescent="0.25">
      <c r="A9402" t="s">
        <v>694</v>
      </c>
      <c r="B9402" t="s">
        <v>27</v>
      </c>
      <c r="C9402" s="2">
        <f>HYPERLINK("https://sao.dolgi.msk.ru/account/1404277174/", 1404277174)</f>
        <v>1404277174</v>
      </c>
      <c r="D9402">
        <v>-2142.96</v>
      </c>
    </row>
    <row r="9403" spans="1:4" hidden="1" x14ac:dyDescent="0.25">
      <c r="A9403" t="s">
        <v>694</v>
      </c>
      <c r="B9403" t="s">
        <v>27</v>
      </c>
      <c r="C9403" s="2">
        <f>HYPERLINK("https://sao.dolgi.msk.ru/account/1404279073/", 1404279073)</f>
        <v>1404279073</v>
      </c>
      <c r="D9403">
        <v>0</v>
      </c>
    </row>
    <row r="9404" spans="1:4" hidden="1" x14ac:dyDescent="0.25">
      <c r="A9404" t="s">
        <v>694</v>
      </c>
      <c r="B9404" t="s">
        <v>28</v>
      </c>
      <c r="C9404" s="2">
        <f>HYPERLINK("https://sao.dolgi.msk.ru/account/1404273755/", 1404273755)</f>
        <v>1404273755</v>
      </c>
      <c r="D9404">
        <v>-7897.54</v>
      </c>
    </row>
    <row r="9405" spans="1:4" hidden="1" x14ac:dyDescent="0.25">
      <c r="A9405" t="s">
        <v>694</v>
      </c>
      <c r="B9405" t="s">
        <v>29</v>
      </c>
      <c r="C9405" s="2">
        <f>HYPERLINK("https://sao.dolgi.msk.ru/account/1404274491/", 1404274491)</f>
        <v>1404274491</v>
      </c>
      <c r="D9405">
        <v>0</v>
      </c>
    </row>
    <row r="9406" spans="1:4" hidden="1" x14ac:dyDescent="0.25">
      <c r="A9406" t="s">
        <v>694</v>
      </c>
      <c r="B9406" t="s">
        <v>30</v>
      </c>
      <c r="C9406" s="2">
        <f>HYPERLINK("https://sao.dolgi.msk.ru/account/1404278097/", 1404278097)</f>
        <v>1404278097</v>
      </c>
      <c r="D9406">
        <v>0</v>
      </c>
    </row>
    <row r="9407" spans="1:4" x14ac:dyDescent="0.25">
      <c r="A9407" t="s">
        <v>694</v>
      </c>
      <c r="B9407" t="s">
        <v>31</v>
      </c>
      <c r="C9407" s="2">
        <f>HYPERLINK("https://sao.dolgi.msk.ru/account/1404273501/", 1404273501)</f>
        <v>1404273501</v>
      </c>
      <c r="D9407">
        <v>1590.53</v>
      </c>
    </row>
    <row r="9408" spans="1:4" hidden="1" x14ac:dyDescent="0.25">
      <c r="A9408" t="s">
        <v>694</v>
      </c>
      <c r="B9408" t="s">
        <v>32</v>
      </c>
      <c r="C9408" s="2">
        <f>HYPERLINK("https://sao.dolgi.msk.ru/account/1404276673/", 1404276673)</f>
        <v>1404276673</v>
      </c>
      <c r="D9408">
        <v>0</v>
      </c>
    </row>
    <row r="9409" spans="1:4" x14ac:dyDescent="0.25">
      <c r="A9409" t="s">
        <v>694</v>
      </c>
      <c r="B9409" t="s">
        <v>33</v>
      </c>
      <c r="C9409" s="2">
        <f>HYPERLINK("https://sao.dolgi.msk.ru/account/1404274838/", 1404274838)</f>
        <v>1404274838</v>
      </c>
      <c r="D9409">
        <v>10618.05</v>
      </c>
    </row>
    <row r="9410" spans="1:4" hidden="1" x14ac:dyDescent="0.25">
      <c r="A9410" t="s">
        <v>694</v>
      </c>
      <c r="B9410" t="s">
        <v>34</v>
      </c>
      <c r="C9410" s="2">
        <f>HYPERLINK("https://sao.dolgi.msk.ru/account/1404278484/", 1404278484)</f>
        <v>1404278484</v>
      </c>
      <c r="D9410">
        <v>0</v>
      </c>
    </row>
    <row r="9411" spans="1:4" hidden="1" x14ac:dyDescent="0.25">
      <c r="A9411" t="s">
        <v>694</v>
      </c>
      <c r="B9411" t="s">
        <v>35</v>
      </c>
      <c r="C9411" s="2">
        <f>HYPERLINK("https://sao.dolgi.msk.ru/account/1404273982/", 1404273982)</f>
        <v>1404273982</v>
      </c>
      <c r="D9411">
        <v>-5904.91</v>
      </c>
    </row>
    <row r="9412" spans="1:4" hidden="1" x14ac:dyDescent="0.25">
      <c r="A9412" t="s">
        <v>694</v>
      </c>
      <c r="B9412" t="s">
        <v>36</v>
      </c>
      <c r="C9412" s="2">
        <f>HYPERLINK("https://sao.dolgi.msk.ru/account/1404274774/", 1404274774)</f>
        <v>1404274774</v>
      </c>
      <c r="D9412">
        <v>0</v>
      </c>
    </row>
    <row r="9413" spans="1:4" hidden="1" x14ac:dyDescent="0.25">
      <c r="A9413" t="s">
        <v>694</v>
      </c>
      <c r="B9413" t="s">
        <v>37</v>
      </c>
      <c r="C9413" s="2">
        <f>HYPERLINK("https://sao.dolgi.msk.ru/account/1404275013/", 1404275013)</f>
        <v>1404275013</v>
      </c>
      <c r="D9413">
        <v>0</v>
      </c>
    </row>
    <row r="9414" spans="1:4" x14ac:dyDescent="0.25">
      <c r="A9414" t="s">
        <v>694</v>
      </c>
      <c r="B9414" t="s">
        <v>38</v>
      </c>
      <c r="C9414" s="2">
        <f>HYPERLINK("https://sao.dolgi.msk.ru/account/1404279161/", 1404279161)</f>
        <v>1404279161</v>
      </c>
      <c r="D9414">
        <v>12768.05</v>
      </c>
    </row>
    <row r="9415" spans="1:4" x14ac:dyDescent="0.25">
      <c r="A9415" t="s">
        <v>694</v>
      </c>
      <c r="B9415" t="s">
        <v>39</v>
      </c>
      <c r="C9415" s="2">
        <f>HYPERLINK("https://sao.dolgi.msk.ru/account/1404279209/", 1404279209)</f>
        <v>1404279209</v>
      </c>
      <c r="D9415">
        <v>6609.9</v>
      </c>
    </row>
    <row r="9416" spans="1:4" hidden="1" x14ac:dyDescent="0.25">
      <c r="A9416" t="s">
        <v>694</v>
      </c>
      <c r="B9416" t="s">
        <v>40</v>
      </c>
      <c r="C9416" s="2">
        <f>HYPERLINK("https://sao.dolgi.msk.ru/account/1404277684/", 1404277684)</f>
        <v>1404277684</v>
      </c>
      <c r="D9416">
        <v>-10642.13</v>
      </c>
    </row>
    <row r="9417" spans="1:4" hidden="1" x14ac:dyDescent="0.25">
      <c r="A9417" t="s">
        <v>694</v>
      </c>
      <c r="B9417" t="s">
        <v>41</v>
      </c>
      <c r="C9417" s="2">
        <f>HYPERLINK("https://sao.dolgi.msk.ru/account/1404275806/", 1404275806)</f>
        <v>1404275806</v>
      </c>
      <c r="D9417">
        <v>-16116.59</v>
      </c>
    </row>
    <row r="9418" spans="1:4" hidden="1" x14ac:dyDescent="0.25">
      <c r="A9418" t="s">
        <v>694</v>
      </c>
      <c r="B9418" t="s">
        <v>42</v>
      </c>
      <c r="C9418" s="2">
        <f>HYPERLINK("https://sao.dolgi.msk.ru/account/1404278943/", 1404278943)</f>
        <v>1404278943</v>
      </c>
      <c r="D9418">
        <v>-4492.74</v>
      </c>
    </row>
    <row r="9419" spans="1:4" x14ac:dyDescent="0.25">
      <c r="A9419" t="s">
        <v>694</v>
      </c>
      <c r="B9419" t="s">
        <v>43</v>
      </c>
      <c r="C9419" s="2">
        <f>HYPERLINK("https://sao.dolgi.msk.ru/account/1404274934/", 1404274934)</f>
        <v>1404274934</v>
      </c>
      <c r="D9419">
        <v>2377.92</v>
      </c>
    </row>
    <row r="9420" spans="1:4" x14ac:dyDescent="0.25">
      <c r="A9420" t="s">
        <v>694</v>
      </c>
      <c r="B9420" t="s">
        <v>44</v>
      </c>
      <c r="C9420" s="2">
        <f>HYPERLINK("https://sao.dolgi.msk.ru/account/1404273413/", 1404273413)</f>
        <v>1404273413</v>
      </c>
      <c r="D9420">
        <v>1126.99</v>
      </c>
    </row>
    <row r="9421" spans="1:4" x14ac:dyDescent="0.25">
      <c r="A9421" t="s">
        <v>694</v>
      </c>
      <c r="B9421" t="s">
        <v>44</v>
      </c>
      <c r="C9421" s="2">
        <f>HYPERLINK("https://sao.dolgi.msk.ru/account/1404275654/", 1404275654)</f>
        <v>1404275654</v>
      </c>
      <c r="D9421">
        <v>1824.25</v>
      </c>
    </row>
    <row r="9422" spans="1:4" x14ac:dyDescent="0.25">
      <c r="A9422" t="s">
        <v>694</v>
      </c>
      <c r="B9422" t="s">
        <v>44</v>
      </c>
      <c r="C9422" s="2">
        <f>HYPERLINK("https://sao.dolgi.msk.ru/account/1404277238/", 1404277238)</f>
        <v>1404277238</v>
      </c>
      <c r="D9422">
        <v>2067.41</v>
      </c>
    </row>
    <row r="9423" spans="1:4" hidden="1" x14ac:dyDescent="0.25">
      <c r="A9423" t="s">
        <v>694</v>
      </c>
      <c r="B9423" t="s">
        <v>45</v>
      </c>
      <c r="C9423" s="2">
        <f>HYPERLINK("https://sao.dolgi.msk.ru/account/1404278038/", 1404278038)</f>
        <v>1404278038</v>
      </c>
      <c r="D9423">
        <v>0</v>
      </c>
    </row>
    <row r="9424" spans="1:4" hidden="1" x14ac:dyDescent="0.25">
      <c r="A9424" t="s">
        <v>694</v>
      </c>
      <c r="B9424" t="s">
        <v>46</v>
      </c>
      <c r="C9424" s="2">
        <f>HYPERLINK("https://sao.dolgi.msk.ru/account/1404278759/", 1404278759)</f>
        <v>1404278759</v>
      </c>
      <c r="D9424">
        <v>0</v>
      </c>
    </row>
    <row r="9425" spans="1:4" hidden="1" x14ac:dyDescent="0.25">
      <c r="A9425" t="s">
        <v>694</v>
      </c>
      <c r="B9425" t="s">
        <v>47</v>
      </c>
      <c r="C9425" s="2">
        <f>HYPERLINK("https://sao.dolgi.msk.ru/account/1404278249/", 1404278249)</f>
        <v>1404278249</v>
      </c>
      <c r="D9425">
        <v>-5116.1000000000004</v>
      </c>
    </row>
    <row r="9426" spans="1:4" hidden="1" x14ac:dyDescent="0.25">
      <c r="A9426" t="s">
        <v>694</v>
      </c>
      <c r="B9426" t="s">
        <v>48</v>
      </c>
      <c r="C9426" s="2">
        <f>HYPERLINK("https://sao.dolgi.msk.ru/account/1404276622/", 1404276622)</f>
        <v>1404276622</v>
      </c>
      <c r="D9426">
        <v>-10006.879999999999</v>
      </c>
    </row>
    <row r="9427" spans="1:4" x14ac:dyDescent="0.25">
      <c r="A9427" t="s">
        <v>694</v>
      </c>
      <c r="B9427" t="s">
        <v>49</v>
      </c>
      <c r="C9427" s="2">
        <f>HYPERLINK("https://sao.dolgi.msk.ru/account/1404274627/", 1404274627)</f>
        <v>1404274627</v>
      </c>
      <c r="D9427">
        <v>21525.63</v>
      </c>
    </row>
    <row r="9428" spans="1:4" hidden="1" x14ac:dyDescent="0.25">
      <c r="A9428" t="s">
        <v>694</v>
      </c>
      <c r="B9428" t="s">
        <v>50</v>
      </c>
      <c r="C9428" s="2">
        <f>HYPERLINK("https://sao.dolgi.msk.ru/account/1404273819/", 1404273819)</f>
        <v>1404273819</v>
      </c>
      <c r="D9428">
        <v>-3410.7</v>
      </c>
    </row>
    <row r="9429" spans="1:4" x14ac:dyDescent="0.25">
      <c r="A9429" t="s">
        <v>694</v>
      </c>
      <c r="B9429" t="s">
        <v>51</v>
      </c>
      <c r="C9429" s="2">
        <f>HYPERLINK("https://sao.dolgi.msk.ru/account/1404275101/", 1404275101)</f>
        <v>1404275101</v>
      </c>
      <c r="D9429">
        <v>13973.75</v>
      </c>
    </row>
    <row r="9430" spans="1:4" hidden="1" x14ac:dyDescent="0.25">
      <c r="A9430" t="s">
        <v>694</v>
      </c>
      <c r="B9430" t="s">
        <v>52</v>
      </c>
      <c r="C9430" s="2">
        <f>HYPERLINK("https://sao.dolgi.msk.ru/account/1404276569/", 1404276569)</f>
        <v>1404276569</v>
      </c>
      <c r="D9430">
        <v>-5413.72</v>
      </c>
    </row>
    <row r="9431" spans="1:4" x14ac:dyDescent="0.25">
      <c r="A9431" t="s">
        <v>694</v>
      </c>
      <c r="B9431" t="s">
        <v>53</v>
      </c>
      <c r="C9431" s="2">
        <f>HYPERLINK("https://sao.dolgi.msk.ru/account/1404274993/", 1404274993)</f>
        <v>1404274993</v>
      </c>
      <c r="D9431">
        <v>8474.18</v>
      </c>
    </row>
    <row r="9432" spans="1:4" hidden="1" x14ac:dyDescent="0.25">
      <c r="A9432" t="s">
        <v>694</v>
      </c>
      <c r="B9432" t="s">
        <v>54</v>
      </c>
      <c r="C9432" s="2">
        <f>HYPERLINK("https://sao.dolgi.msk.ru/account/1404277449/", 1404277449)</f>
        <v>1404277449</v>
      </c>
      <c r="D9432">
        <v>-4874.53</v>
      </c>
    </row>
    <row r="9433" spans="1:4" hidden="1" x14ac:dyDescent="0.25">
      <c r="A9433" t="s">
        <v>694</v>
      </c>
      <c r="B9433" t="s">
        <v>55</v>
      </c>
      <c r="C9433" s="2">
        <f>HYPERLINK("https://sao.dolgi.msk.ru/account/1404277107/", 1404277107)</f>
        <v>1404277107</v>
      </c>
      <c r="D9433">
        <v>-4943.4799999999996</v>
      </c>
    </row>
    <row r="9434" spans="1:4" hidden="1" x14ac:dyDescent="0.25">
      <c r="A9434" t="s">
        <v>694</v>
      </c>
      <c r="B9434" t="s">
        <v>56</v>
      </c>
      <c r="C9434" s="2">
        <f>HYPERLINK("https://sao.dolgi.msk.ru/account/1404278062/", 1404278062)</f>
        <v>1404278062</v>
      </c>
      <c r="D9434">
        <v>-5049.8599999999997</v>
      </c>
    </row>
    <row r="9435" spans="1:4" hidden="1" x14ac:dyDescent="0.25">
      <c r="A9435" t="s">
        <v>694</v>
      </c>
      <c r="B9435" t="s">
        <v>57</v>
      </c>
      <c r="C9435" s="2">
        <f>HYPERLINK("https://sao.dolgi.msk.ru/account/1404278652/", 1404278652)</f>
        <v>1404278652</v>
      </c>
      <c r="D9435">
        <v>-7553.19</v>
      </c>
    </row>
    <row r="9436" spans="1:4" x14ac:dyDescent="0.25">
      <c r="A9436" t="s">
        <v>694</v>
      </c>
      <c r="B9436" t="s">
        <v>58</v>
      </c>
      <c r="C9436" s="2">
        <f>HYPERLINK("https://sao.dolgi.msk.ru/account/1404273296/", 1404273296)</f>
        <v>1404273296</v>
      </c>
      <c r="D9436">
        <v>19151.64</v>
      </c>
    </row>
    <row r="9437" spans="1:4" hidden="1" x14ac:dyDescent="0.25">
      <c r="A9437" t="s">
        <v>694</v>
      </c>
      <c r="B9437" t="s">
        <v>59</v>
      </c>
      <c r="C9437" s="2">
        <f>HYPERLINK("https://sao.dolgi.msk.ru/account/1404276307/", 1404276307)</f>
        <v>1404276307</v>
      </c>
      <c r="D9437">
        <v>-4588.53</v>
      </c>
    </row>
    <row r="9438" spans="1:4" hidden="1" x14ac:dyDescent="0.25">
      <c r="A9438" t="s">
        <v>694</v>
      </c>
      <c r="B9438" t="s">
        <v>60</v>
      </c>
      <c r="C9438" s="2">
        <f>HYPERLINK("https://sao.dolgi.msk.ru/account/1404274723/", 1404274723)</f>
        <v>1404274723</v>
      </c>
      <c r="D9438">
        <v>-4844.3599999999997</v>
      </c>
    </row>
    <row r="9439" spans="1:4" x14ac:dyDescent="0.25">
      <c r="A9439" t="s">
        <v>694</v>
      </c>
      <c r="B9439" t="s">
        <v>61</v>
      </c>
      <c r="C9439" s="2">
        <f>HYPERLINK("https://sao.dolgi.msk.ru/account/1404275515/", 1404275515)</f>
        <v>1404275515</v>
      </c>
      <c r="D9439">
        <v>1120.18</v>
      </c>
    </row>
    <row r="9440" spans="1:4" hidden="1" x14ac:dyDescent="0.25">
      <c r="A9440" t="s">
        <v>694</v>
      </c>
      <c r="B9440" t="s">
        <v>62</v>
      </c>
      <c r="C9440" s="2">
        <f>HYPERLINK("https://sao.dolgi.msk.ru/account/1404277908/", 1404277908)</f>
        <v>1404277908</v>
      </c>
      <c r="D9440">
        <v>-4399</v>
      </c>
    </row>
    <row r="9441" spans="1:4" hidden="1" x14ac:dyDescent="0.25">
      <c r="A9441" t="s">
        <v>694</v>
      </c>
      <c r="B9441" t="s">
        <v>63</v>
      </c>
      <c r="C9441" s="2">
        <f>HYPERLINK("https://sao.dolgi.msk.ru/account/1404273309/", 1404273309)</f>
        <v>1404273309</v>
      </c>
      <c r="D9441">
        <v>-4581.99</v>
      </c>
    </row>
    <row r="9442" spans="1:4" hidden="1" x14ac:dyDescent="0.25">
      <c r="A9442" t="s">
        <v>694</v>
      </c>
      <c r="B9442" t="s">
        <v>64</v>
      </c>
      <c r="C9442" s="2">
        <f>HYPERLINK("https://sao.dolgi.msk.ru/account/1404273325/", 1404273325)</f>
        <v>1404273325</v>
      </c>
      <c r="D9442">
        <v>-6664.76</v>
      </c>
    </row>
    <row r="9443" spans="1:4" hidden="1" x14ac:dyDescent="0.25">
      <c r="A9443" t="s">
        <v>694</v>
      </c>
      <c r="B9443" t="s">
        <v>65</v>
      </c>
      <c r="C9443" s="2">
        <f>HYPERLINK("https://sao.dolgi.msk.ru/account/1404276315/", 1404276315)</f>
        <v>1404276315</v>
      </c>
      <c r="D9443">
        <v>0</v>
      </c>
    </row>
    <row r="9444" spans="1:4" hidden="1" x14ac:dyDescent="0.25">
      <c r="A9444" t="s">
        <v>694</v>
      </c>
      <c r="B9444" t="s">
        <v>66</v>
      </c>
      <c r="C9444" s="2">
        <f>HYPERLINK("https://sao.dolgi.msk.ru/account/1404277916/", 1404277916)</f>
        <v>1404277916</v>
      </c>
      <c r="D9444">
        <v>0</v>
      </c>
    </row>
    <row r="9445" spans="1:4" x14ac:dyDescent="0.25">
      <c r="A9445" t="s">
        <v>694</v>
      </c>
      <c r="B9445" t="s">
        <v>67</v>
      </c>
      <c r="C9445" s="2">
        <f>HYPERLINK("https://sao.dolgi.msk.ru/account/1404277115/", 1404277115)</f>
        <v>1404277115</v>
      </c>
      <c r="D9445">
        <v>1789.66</v>
      </c>
    </row>
    <row r="9446" spans="1:4" hidden="1" x14ac:dyDescent="0.25">
      <c r="A9446" t="s">
        <v>694</v>
      </c>
      <c r="B9446" t="s">
        <v>68</v>
      </c>
      <c r="C9446" s="2">
        <f>HYPERLINK("https://sao.dolgi.msk.ru/account/1404276008/", 1404276008)</f>
        <v>1404276008</v>
      </c>
      <c r="D9446">
        <v>-8485.94</v>
      </c>
    </row>
    <row r="9447" spans="1:4" x14ac:dyDescent="0.25">
      <c r="A9447" t="s">
        <v>694</v>
      </c>
      <c r="B9447" t="s">
        <v>69</v>
      </c>
      <c r="C9447" s="2">
        <f>HYPERLINK("https://sao.dolgi.msk.ru/account/1404276323/", 1404276323)</f>
        <v>1404276323</v>
      </c>
      <c r="D9447">
        <v>2655.92</v>
      </c>
    </row>
    <row r="9448" spans="1:4" hidden="1" x14ac:dyDescent="0.25">
      <c r="A9448" t="s">
        <v>694</v>
      </c>
      <c r="B9448" t="s">
        <v>70</v>
      </c>
      <c r="C9448" s="2">
        <f>HYPERLINK("https://sao.dolgi.msk.ru/account/1404277123/", 1404277123)</f>
        <v>1404277123</v>
      </c>
      <c r="D9448">
        <v>-4346.53</v>
      </c>
    </row>
    <row r="9449" spans="1:4" hidden="1" x14ac:dyDescent="0.25">
      <c r="A9449" t="s">
        <v>694</v>
      </c>
      <c r="B9449" t="s">
        <v>71</v>
      </c>
      <c r="C9449" s="2">
        <f>HYPERLINK("https://sao.dolgi.msk.ru/account/1404273333/", 1404273333)</f>
        <v>1404273333</v>
      </c>
      <c r="D9449">
        <v>0</v>
      </c>
    </row>
    <row r="9450" spans="1:4" hidden="1" x14ac:dyDescent="0.25">
      <c r="A9450" t="s">
        <v>694</v>
      </c>
      <c r="B9450" t="s">
        <v>72</v>
      </c>
      <c r="C9450" s="2">
        <f>HYPERLINK("https://sao.dolgi.msk.ru/account/1404274168/", 1404274168)</f>
        <v>1404274168</v>
      </c>
      <c r="D9450">
        <v>-8567.32</v>
      </c>
    </row>
    <row r="9451" spans="1:4" hidden="1" x14ac:dyDescent="0.25">
      <c r="A9451" t="s">
        <v>694</v>
      </c>
      <c r="B9451" t="s">
        <v>73</v>
      </c>
      <c r="C9451" s="2">
        <f>HYPERLINK("https://sao.dolgi.msk.ru/account/1404277131/", 1404277131)</f>
        <v>1404277131</v>
      </c>
      <c r="D9451">
        <v>-9180.23</v>
      </c>
    </row>
    <row r="9452" spans="1:4" hidden="1" x14ac:dyDescent="0.25">
      <c r="A9452" t="s">
        <v>694</v>
      </c>
      <c r="B9452" t="s">
        <v>74</v>
      </c>
      <c r="C9452" s="2">
        <f>HYPERLINK("https://sao.dolgi.msk.ru/account/1404274176/", 1404274176)</f>
        <v>1404274176</v>
      </c>
      <c r="D9452">
        <v>-3722.32</v>
      </c>
    </row>
    <row r="9453" spans="1:4" hidden="1" x14ac:dyDescent="0.25">
      <c r="A9453" t="s">
        <v>694</v>
      </c>
      <c r="B9453" t="s">
        <v>75</v>
      </c>
      <c r="C9453" s="2">
        <f>HYPERLINK("https://sao.dolgi.msk.ru/account/1404274184/", 1404274184)</f>
        <v>1404274184</v>
      </c>
      <c r="D9453">
        <v>-2984.87</v>
      </c>
    </row>
    <row r="9454" spans="1:4" hidden="1" x14ac:dyDescent="0.25">
      <c r="A9454" t="s">
        <v>694</v>
      </c>
      <c r="B9454" t="s">
        <v>76</v>
      </c>
      <c r="C9454" s="2">
        <f>HYPERLINK("https://sao.dolgi.msk.ru/account/1404274731/", 1404274731)</f>
        <v>1404274731</v>
      </c>
      <c r="D9454">
        <v>-5558.95</v>
      </c>
    </row>
    <row r="9455" spans="1:4" hidden="1" x14ac:dyDescent="0.25">
      <c r="A9455" t="s">
        <v>694</v>
      </c>
      <c r="B9455" t="s">
        <v>77</v>
      </c>
      <c r="C9455" s="2">
        <f>HYPERLINK("https://sao.dolgi.msk.ru/account/1404278687/", 1404278687)</f>
        <v>1404278687</v>
      </c>
      <c r="D9455">
        <v>-9354.9500000000007</v>
      </c>
    </row>
    <row r="9456" spans="1:4" hidden="1" x14ac:dyDescent="0.25">
      <c r="A9456" t="s">
        <v>694</v>
      </c>
      <c r="B9456" t="s">
        <v>78</v>
      </c>
      <c r="C9456" s="2">
        <f>HYPERLINK("https://sao.dolgi.msk.ru/account/1404274758/", 1404274758)</f>
        <v>1404274758</v>
      </c>
      <c r="D9456">
        <v>0</v>
      </c>
    </row>
    <row r="9457" spans="1:4" x14ac:dyDescent="0.25">
      <c r="A9457" t="s">
        <v>694</v>
      </c>
      <c r="B9457" t="s">
        <v>79</v>
      </c>
      <c r="C9457" s="2">
        <f>HYPERLINK("https://sao.dolgi.msk.ru/account/1404275523/", 1404275523)</f>
        <v>1404275523</v>
      </c>
      <c r="D9457">
        <v>4686.0200000000004</v>
      </c>
    </row>
    <row r="9458" spans="1:4" hidden="1" x14ac:dyDescent="0.25">
      <c r="A9458" t="s">
        <v>694</v>
      </c>
      <c r="B9458" t="s">
        <v>80</v>
      </c>
      <c r="C9458" s="2">
        <f>HYPERLINK("https://sao.dolgi.msk.ru/account/1404276227/", 1404276227)</f>
        <v>1404276227</v>
      </c>
      <c r="D9458">
        <v>-6482.92</v>
      </c>
    </row>
    <row r="9459" spans="1:4" hidden="1" x14ac:dyDescent="0.25">
      <c r="A9459" t="s">
        <v>694</v>
      </c>
      <c r="B9459" t="s">
        <v>81</v>
      </c>
      <c r="C9459" s="2">
        <f>HYPERLINK("https://sao.dolgi.msk.ru/account/1404275486/", 1404275486)</f>
        <v>1404275486</v>
      </c>
      <c r="D9459">
        <v>-7715.2</v>
      </c>
    </row>
    <row r="9460" spans="1:4" hidden="1" x14ac:dyDescent="0.25">
      <c r="A9460" t="s">
        <v>694</v>
      </c>
      <c r="B9460" t="s">
        <v>82</v>
      </c>
      <c r="C9460" s="2">
        <f>HYPERLINK("https://sao.dolgi.msk.ru/account/1404278636/", 1404278636)</f>
        <v>1404278636</v>
      </c>
      <c r="D9460">
        <v>-1997.67</v>
      </c>
    </row>
    <row r="9461" spans="1:4" hidden="1" x14ac:dyDescent="0.25">
      <c r="A9461" t="s">
        <v>694</v>
      </c>
      <c r="B9461" t="s">
        <v>83</v>
      </c>
      <c r="C9461" s="2">
        <f>HYPERLINK("https://sao.dolgi.msk.ru/account/1404277879/", 1404277879)</f>
        <v>1404277879</v>
      </c>
      <c r="D9461">
        <v>-3306.83</v>
      </c>
    </row>
    <row r="9462" spans="1:4" x14ac:dyDescent="0.25">
      <c r="A9462" t="s">
        <v>694</v>
      </c>
      <c r="B9462" t="s">
        <v>84</v>
      </c>
      <c r="C9462" s="2">
        <f>HYPERLINK("https://sao.dolgi.msk.ru/account/1404274133/", 1404274133)</f>
        <v>1404274133</v>
      </c>
      <c r="D9462">
        <v>20760.310000000001</v>
      </c>
    </row>
    <row r="9463" spans="1:4" hidden="1" x14ac:dyDescent="0.25">
      <c r="A9463" t="s">
        <v>694</v>
      </c>
      <c r="B9463" t="s">
        <v>85</v>
      </c>
      <c r="C9463" s="2">
        <f>HYPERLINK("https://sao.dolgi.msk.ru/account/1404276243/", 1404276243)</f>
        <v>1404276243</v>
      </c>
      <c r="D9463">
        <v>-7131.1</v>
      </c>
    </row>
    <row r="9464" spans="1:4" x14ac:dyDescent="0.25">
      <c r="A9464" t="s">
        <v>694</v>
      </c>
      <c r="B9464" t="s">
        <v>86</v>
      </c>
      <c r="C9464" s="2">
        <f>HYPERLINK("https://sao.dolgi.msk.ru/account/1404276251/", 1404276251)</f>
        <v>1404276251</v>
      </c>
      <c r="D9464">
        <v>3860.54</v>
      </c>
    </row>
    <row r="9465" spans="1:4" hidden="1" x14ac:dyDescent="0.25">
      <c r="A9465" t="s">
        <v>694</v>
      </c>
      <c r="B9465" t="s">
        <v>87</v>
      </c>
      <c r="C9465" s="2">
        <f>HYPERLINK("https://sao.dolgi.msk.ru/account/1404273261/", 1404273261)</f>
        <v>1404273261</v>
      </c>
      <c r="D9465">
        <v>0</v>
      </c>
    </row>
    <row r="9466" spans="1:4" hidden="1" x14ac:dyDescent="0.25">
      <c r="A9466" t="s">
        <v>694</v>
      </c>
      <c r="B9466" t="s">
        <v>88</v>
      </c>
      <c r="C9466" s="2">
        <f>HYPERLINK("https://sao.dolgi.msk.ru/account/1404274141/", 1404274141)</f>
        <v>1404274141</v>
      </c>
      <c r="D9466">
        <v>-8136.99</v>
      </c>
    </row>
    <row r="9467" spans="1:4" hidden="1" x14ac:dyDescent="0.25">
      <c r="A9467" t="s">
        <v>694</v>
      </c>
      <c r="B9467" t="s">
        <v>89</v>
      </c>
      <c r="C9467" s="2">
        <f>HYPERLINK("https://sao.dolgi.msk.ru/account/1404277043/", 1404277043)</f>
        <v>1404277043</v>
      </c>
      <c r="D9467">
        <v>-4374.99</v>
      </c>
    </row>
    <row r="9468" spans="1:4" hidden="1" x14ac:dyDescent="0.25">
      <c r="A9468" t="s">
        <v>694</v>
      </c>
      <c r="B9468" t="s">
        <v>90</v>
      </c>
      <c r="C9468" s="2">
        <f>HYPERLINK("https://sao.dolgi.msk.ru/account/1404277051/", 1404277051)</f>
        <v>1404277051</v>
      </c>
      <c r="D9468">
        <v>-327.43</v>
      </c>
    </row>
    <row r="9469" spans="1:4" x14ac:dyDescent="0.25">
      <c r="A9469" t="s">
        <v>694</v>
      </c>
      <c r="B9469" t="s">
        <v>91</v>
      </c>
      <c r="C9469" s="2">
        <f>HYPERLINK("https://sao.dolgi.msk.ru/account/1404277078/", 1404277078)</f>
        <v>1404277078</v>
      </c>
      <c r="D9469">
        <v>13192.06</v>
      </c>
    </row>
    <row r="9470" spans="1:4" hidden="1" x14ac:dyDescent="0.25">
      <c r="A9470" t="s">
        <v>694</v>
      </c>
      <c r="B9470" t="s">
        <v>92</v>
      </c>
      <c r="C9470" s="2">
        <f>HYPERLINK("https://sao.dolgi.msk.ru/account/1404275494/", 1404275494)</f>
        <v>1404275494</v>
      </c>
      <c r="D9470">
        <v>-5481.13</v>
      </c>
    </row>
    <row r="9471" spans="1:4" x14ac:dyDescent="0.25">
      <c r="A9471" t="s">
        <v>694</v>
      </c>
      <c r="B9471" t="s">
        <v>93</v>
      </c>
      <c r="C9471" s="2">
        <f>HYPERLINK("https://sao.dolgi.msk.ru/account/1404278644/", 1404278644)</f>
        <v>1404278644</v>
      </c>
      <c r="D9471">
        <v>19442.37</v>
      </c>
    </row>
    <row r="9472" spans="1:4" x14ac:dyDescent="0.25">
      <c r="A9472" t="s">
        <v>694</v>
      </c>
      <c r="B9472" t="s">
        <v>93</v>
      </c>
      <c r="C9472" s="2">
        <f>HYPERLINK("https://sao.dolgi.msk.ru/account/1404279145/", 1404279145)</f>
        <v>1404279145</v>
      </c>
      <c r="D9472">
        <v>12164.08</v>
      </c>
    </row>
    <row r="9473" spans="1:4" hidden="1" x14ac:dyDescent="0.25">
      <c r="A9473" t="s">
        <v>694</v>
      </c>
      <c r="B9473" t="s">
        <v>94</v>
      </c>
      <c r="C9473" s="2">
        <f>HYPERLINK("https://sao.dolgi.msk.ru/account/1404276278/", 1404276278)</f>
        <v>1404276278</v>
      </c>
      <c r="D9473">
        <v>-3089.33</v>
      </c>
    </row>
    <row r="9474" spans="1:4" hidden="1" x14ac:dyDescent="0.25">
      <c r="A9474" t="s">
        <v>694</v>
      </c>
      <c r="B9474" t="s">
        <v>95</v>
      </c>
      <c r="C9474" s="2">
        <f>HYPERLINK("https://sao.dolgi.msk.ru/account/1404274686/", 1404274686)</f>
        <v>1404274686</v>
      </c>
      <c r="D9474">
        <v>-3258.15</v>
      </c>
    </row>
    <row r="9475" spans="1:4" hidden="1" x14ac:dyDescent="0.25">
      <c r="A9475" t="s">
        <v>694</v>
      </c>
      <c r="B9475" t="s">
        <v>96</v>
      </c>
      <c r="C9475" s="2">
        <f>HYPERLINK("https://sao.dolgi.msk.ru/account/1404275507/", 1404275507)</f>
        <v>1404275507</v>
      </c>
      <c r="D9475">
        <v>-6085.26</v>
      </c>
    </row>
    <row r="9476" spans="1:4" x14ac:dyDescent="0.25">
      <c r="A9476" t="s">
        <v>694</v>
      </c>
      <c r="B9476" t="s">
        <v>97</v>
      </c>
      <c r="C9476" s="2">
        <f>HYPERLINK("https://sao.dolgi.msk.ru/account/1404276788/", 1404276788)</f>
        <v>1404276788</v>
      </c>
      <c r="D9476">
        <v>7871.04</v>
      </c>
    </row>
    <row r="9477" spans="1:4" hidden="1" x14ac:dyDescent="0.25">
      <c r="A9477" t="s">
        <v>694</v>
      </c>
      <c r="B9477" t="s">
        <v>98</v>
      </c>
      <c r="C9477" s="2">
        <f>HYPERLINK("https://sao.dolgi.msk.ru/account/1404279049/", 1404279049)</f>
        <v>1404279049</v>
      </c>
      <c r="D9477">
        <v>-9269.89</v>
      </c>
    </row>
    <row r="9478" spans="1:4" hidden="1" x14ac:dyDescent="0.25">
      <c r="A9478" t="s">
        <v>694</v>
      </c>
      <c r="B9478" t="s">
        <v>99</v>
      </c>
      <c r="C9478" s="2">
        <f>HYPERLINK("https://sao.dolgi.msk.ru/account/1404279057/", 1404279057)</f>
        <v>1404279057</v>
      </c>
      <c r="D9478">
        <v>-7795.64</v>
      </c>
    </row>
    <row r="9479" spans="1:4" hidden="1" x14ac:dyDescent="0.25">
      <c r="A9479" t="s">
        <v>694</v>
      </c>
      <c r="B9479" t="s">
        <v>100</v>
      </c>
      <c r="C9479" s="2">
        <f>HYPERLINK("https://sao.dolgi.msk.ru/account/1404278361/", 1404278361)</f>
        <v>1404278361</v>
      </c>
      <c r="D9479">
        <v>0</v>
      </c>
    </row>
    <row r="9480" spans="1:4" hidden="1" x14ac:dyDescent="0.25">
      <c r="A9480" t="s">
        <v>694</v>
      </c>
      <c r="B9480" t="s">
        <v>101</v>
      </c>
      <c r="C9480" s="2">
        <f>HYPERLINK("https://sao.dolgi.msk.ru/account/1404273712/", 1404273712)</f>
        <v>1404273712</v>
      </c>
      <c r="D9480">
        <v>0</v>
      </c>
    </row>
    <row r="9481" spans="1:4" hidden="1" x14ac:dyDescent="0.25">
      <c r="A9481" t="s">
        <v>694</v>
      </c>
      <c r="B9481" t="s">
        <v>102</v>
      </c>
      <c r="C9481" s="2">
        <f>HYPERLINK("https://sao.dolgi.msk.ru/account/1404275937/", 1404275937)</f>
        <v>1404275937</v>
      </c>
      <c r="D9481">
        <v>-4691.47</v>
      </c>
    </row>
    <row r="9482" spans="1:4" hidden="1" x14ac:dyDescent="0.25">
      <c r="A9482" t="s">
        <v>694</v>
      </c>
      <c r="B9482" t="s">
        <v>103</v>
      </c>
      <c r="C9482" s="2">
        <f>HYPERLINK("https://sao.dolgi.msk.ru/account/1404279065/", 1404279065)</f>
        <v>1404279065</v>
      </c>
      <c r="D9482">
        <v>-4881.95</v>
      </c>
    </row>
    <row r="9483" spans="1:4" x14ac:dyDescent="0.25">
      <c r="A9483" t="s">
        <v>694</v>
      </c>
      <c r="B9483" t="s">
        <v>104</v>
      </c>
      <c r="C9483" s="2">
        <f>HYPERLINK("https://sao.dolgi.msk.ru/account/1404277924/", 1404277924)</f>
        <v>1404277924</v>
      </c>
      <c r="D9483">
        <v>8237.74</v>
      </c>
    </row>
    <row r="9484" spans="1:4" hidden="1" x14ac:dyDescent="0.25">
      <c r="A9484" t="s">
        <v>694</v>
      </c>
      <c r="B9484" t="s">
        <v>105</v>
      </c>
      <c r="C9484" s="2">
        <f>HYPERLINK("https://sao.dolgi.msk.ru/account/1404276358/", 1404276358)</f>
        <v>1404276358</v>
      </c>
      <c r="D9484">
        <v>-3557.54</v>
      </c>
    </row>
    <row r="9485" spans="1:4" hidden="1" x14ac:dyDescent="0.25">
      <c r="A9485" t="s">
        <v>694</v>
      </c>
      <c r="B9485" t="s">
        <v>106</v>
      </c>
      <c r="C9485" s="2">
        <f>HYPERLINK("https://sao.dolgi.msk.ru/account/1404273376/", 1404273376)</f>
        <v>1404273376</v>
      </c>
      <c r="D9485">
        <v>0</v>
      </c>
    </row>
    <row r="9486" spans="1:4" hidden="1" x14ac:dyDescent="0.25">
      <c r="A9486" t="s">
        <v>694</v>
      </c>
      <c r="B9486" t="s">
        <v>107</v>
      </c>
      <c r="C9486" s="2">
        <f>HYPERLINK("https://sao.dolgi.msk.ru/account/1404273552/", 1404273552)</f>
        <v>1404273552</v>
      </c>
      <c r="D9486">
        <v>0</v>
      </c>
    </row>
    <row r="9487" spans="1:4" hidden="1" x14ac:dyDescent="0.25">
      <c r="A9487" t="s">
        <v>694</v>
      </c>
      <c r="B9487" t="s">
        <v>108</v>
      </c>
      <c r="C9487" s="2">
        <f>HYPERLINK("https://sao.dolgi.msk.ru/account/1404276585/", 1404276585)</f>
        <v>1404276585</v>
      </c>
      <c r="D9487">
        <v>-5388.82</v>
      </c>
    </row>
    <row r="9488" spans="1:4" x14ac:dyDescent="0.25">
      <c r="A9488" t="s">
        <v>694</v>
      </c>
      <c r="B9488" t="s">
        <v>109</v>
      </c>
      <c r="C9488" s="2">
        <f>HYPERLINK("https://sao.dolgi.msk.ru/account/1404276593/", 1404276593)</f>
        <v>1404276593</v>
      </c>
      <c r="D9488">
        <v>13643.32</v>
      </c>
    </row>
    <row r="9489" spans="1:4" hidden="1" x14ac:dyDescent="0.25">
      <c r="A9489" t="s">
        <v>694</v>
      </c>
      <c r="B9489" t="s">
        <v>110</v>
      </c>
      <c r="C9489" s="2">
        <f>HYPERLINK("https://sao.dolgi.msk.ru/account/1404275021/", 1404275021)</f>
        <v>1404275021</v>
      </c>
      <c r="D9489">
        <v>0</v>
      </c>
    </row>
    <row r="9490" spans="1:4" hidden="1" x14ac:dyDescent="0.25">
      <c r="A9490" t="s">
        <v>694</v>
      </c>
      <c r="B9490" t="s">
        <v>111</v>
      </c>
      <c r="C9490" s="2">
        <f>HYPERLINK("https://sao.dolgi.msk.ru/account/1404274352/", 1404274352)</f>
        <v>1404274352</v>
      </c>
      <c r="D9490">
        <v>-6821.08</v>
      </c>
    </row>
    <row r="9491" spans="1:4" hidden="1" x14ac:dyDescent="0.25">
      <c r="A9491" t="s">
        <v>694</v>
      </c>
      <c r="B9491" t="s">
        <v>112</v>
      </c>
      <c r="C9491" s="2">
        <f>HYPERLINK("https://sao.dolgi.msk.ru/account/1404278257/", 1404278257)</f>
        <v>1404278257</v>
      </c>
      <c r="D9491">
        <v>0</v>
      </c>
    </row>
    <row r="9492" spans="1:4" hidden="1" x14ac:dyDescent="0.25">
      <c r="A9492" t="s">
        <v>694</v>
      </c>
      <c r="B9492" t="s">
        <v>113</v>
      </c>
      <c r="C9492" s="2">
        <f>HYPERLINK("https://sao.dolgi.msk.ru/account/1404278847/", 1404278847)</f>
        <v>1404278847</v>
      </c>
      <c r="D9492">
        <v>-3873.7</v>
      </c>
    </row>
    <row r="9493" spans="1:4" hidden="1" x14ac:dyDescent="0.25">
      <c r="A9493" t="s">
        <v>694</v>
      </c>
      <c r="B9493" t="s">
        <v>114</v>
      </c>
      <c r="C9493" s="2">
        <f>HYPERLINK("https://sao.dolgi.msk.ru/account/1404278855/", 1404278855)</f>
        <v>1404278855</v>
      </c>
      <c r="D9493">
        <v>0</v>
      </c>
    </row>
    <row r="9494" spans="1:4" hidden="1" x14ac:dyDescent="0.25">
      <c r="A9494" t="s">
        <v>694</v>
      </c>
      <c r="B9494" t="s">
        <v>115</v>
      </c>
      <c r="C9494" s="2">
        <f>HYPERLINK("https://sao.dolgi.msk.ru/account/1404275734/", 1404275734)</f>
        <v>1404275734</v>
      </c>
      <c r="D9494">
        <v>-7485.34</v>
      </c>
    </row>
    <row r="9495" spans="1:4" hidden="1" x14ac:dyDescent="0.25">
      <c r="A9495" t="s">
        <v>694</v>
      </c>
      <c r="B9495" t="s">
        <v>116</v>
      </c>
      <c r="C9495" s="2">
        <f>HYPERLINK("https://sao.dolgi.msk.ru/account/1404278863/", 1404278863)</f>
        <v>1404278863</v>
      </c>
      <c r="D9495">
        <v>-4924.76</v>
      </c>
    </row>
    <row r="9496" spans="1:4" hidden="1" x14ac:dyDescent="0.25">
      <c r="A9496" t="s">
        <v>694</v>
      </c>
      <c r="B9496" t="s">
        <v>117</v>
      </c>
      <c r="C9496" s="2">
        <f>HYPERLINK("https://sao.dolgi.msk.ru/account/1404275742/", 1404275742)</f>
        <v>1404275742</v>
      </c>
      <c r="D9496">
        <v>-5206.79</v>
      </c>
    </row>
    <row r="9497" spans="1:4" hidden="1" x14ac:dyDescent="0.25">
      <c r="A9497" t="s">
        <v>694</v>
      </c>
      <c r="B9497" t="s">
        <v>118</v>
      </c>
      <c r="C9497" s="2">
        <f>HYPERLINK("https://sao.dolgi.msk.ru/account/1404277457/", 1404277457)</f>
        <v>1404277457</v>
      </c>
      <c r="D9497">
        <v>0</v>
      </c>
    </row>
    <row r="9498" spans="1:4" hidden="1" x14ac:dyDescent="0.25">
      <c r="A9498" t="s">
        <v>694</v>
      </c>
      <c r="B9498" t="s">
        <v>119</v>
      </c>
      <c r="C9498" s="2">
        <f>HYPERLINK("https://sao.dolgi.msk.ru/account/1404276606/", 1404276606)</f>
        <v>1404276606</v>
      </c>
      <c r="D9498">
        <v>-7615.8</v>
      </c>
    </row>
    <row r="9499" spans="1:4" hidden="1" x14ac:dyDescent="0.25">
      <c r="A9499" t="s">
        <v>694</v>
      </c>
      <c r="B9499" t="s">
        <v>120</v>
      </c>
      <c r="C9499" s="2">
        <f>HYPERLINK("https://sao.dolgi.msk.ru/account/1404273579/", 1404273579)</f>
        <v>1404273579</v>
      </c>
      <c r="D9499">
        <v>-8485.4599999999991</v>
      </c>
    </row>
    <row r="9500" spans="1:4" hidden="1" x14ac:dyDescent="0.25">
      <c r="A9500" t="s">
        <v>694</v>
      </c>
      <c r="B9500" t="s">
        <v>121</v>
      </c>
      <c r="C9500" s="2">
        <f>HYPERLINK("https://sao.dolgi.msk.ru/account/1404275769/", 1404275769)</f>
        <v>1404275769</v>
      </c>
      <c r="D9500">
        <v>-3641.31</v>
      </c>
    </row>
    <row r="9501" spans="1:4" hidden="1" x14ac:dyDescent="0.25">
      <c r="A9501" t="s">
        <v>694</v>
      </c>
      <c r="B9501" t="s">
        <v>122</v>
      </c>
      <c r="C9501" s="2">
        <f>HYPERLINK("https://sao.dolgi.msk.ru/account/1404275048/", 1404275048)</f>
        <v>1404275048</v>
      </c>
      <c r="D9501">
        <v>-5434.08</v>
      </c>
    </row>
    <row r="9502" spans="1:4" hidden="1" x14ac:dyDescent="0.25">
      <c r="A9502" t="s">
        <v>694</v>
      </c>
      <c r="B9502" t="s">
        <v>123</v>
      </c>
      <c r="C9502" s="2">
        <f>HYPERLINK("https://sao.dolgi.msk.ru/account/1404274379/", 1404274379)</f>
        <v>1404274379</v>
      </c>
      <c r="D9502">
        <v>-9342.33</v>
      </c>
    </row>
    <row r="9503" spans="1:4" x14ac:dyDescent="0.25">
      <c r="A9503" t="s">
        <v>694</v>
      </c>
      <c r="B9503" t="s">
        <v>124</v>
      </c>
      <c r="C9503" s="2">
        <f>HYPERLINK("https://sao.dolgi.msk.ru/account/1404278273/", 1404278273)</f>
        <v>1404278273</v>
      </c>
      <c r="D9503">
        <v>30868.83</v>
      </c>
    </row>
    <row r="9504" spans="1:4" hidden="1" x14ac:dyDescent="0.25">
      <c r="A9504" t="s">
        <v>694</v>
      </c>
      <c r="B9504" t="s">
        <v>125</v>
      </c>
      <c r="C9504" s="2">
        <f>HYPERLINK("https://sao.dolgi.msk.ru/account/1404273587/", 1404273587)</f>
        <v>1404273587</v>
      </c>
      <c r="D9504">
        <v>-2521.3000000000002</v>
      </c>
    </row>
    <row r="9505" spans="1:4" hidden="1" x14ac:dyDescent="0.25">
      <c r="A9505" t="s">
        <v>694</v>
      </c>
      <c r="B9505" t="s">
        <v>126</v>
      </c>
      <c r="C9505" s="2">
        <f>HYPERLINK("https://sao.dolgi.msk.ru/account/1404278871/", 1404278871)</f>
        <v>1404278871</v>
      </c>
      <c r="D9505">
        <v>-418.79</v>
      </c>
    </row>
    <row r="9506" spans="1:4" hidden="1" x14ac:dyDescent="0.25">
      <c r="A9506" t="s">
        <v>694</v>
      </c>
      <c r="B9506" t="s">
        <v>127</v>
      </c>
      <c r="C9506" s="2">
        <f>HYPERLINK("https://sao.dolgi.msk.ru/account/1404277465/", 1404277465)</f>
        <v>1404277465</v>
      </c>
      <c r="D9506">
        <v>-10059.459999999999</v>
      </c>
    </row>
    <row r="9507" spans="1:4" x14ac:dyDescent="0.25">
      <c r="A9507" t="s">
        <v>694</v>
      </c>
      <c r="B9507" t="s">
        <v>128</v>
      </c>
      <c r="C9507" s="2">
        <f>HYPERLINK("https://sao.dolgi.msk.ru/account/1404273595/", 1404273595)</f>
        <v>1404273595</v>
      </c>
      <c r="D9507">
        <v>7084.71</v>
      </c>
    </row>
    <row r="9508" spans="1:4" x14ac:dyDescent="0.25">
      <c r="A9508" t="s">
        <v>694</v>
      </c>
      <c r="B9508" t="s">
        <v>129</v>
      </c>
      <c r="C9508" s="2">
        <f>HYPERLINK("https://sao.dolgi.msk.ru/account/1404274387/", 1404274387)</f>
        <v>1404274387</v>
      </c>
      <c r="D9508">
        <v>6698.29</v>
      </c>
    </row>
    <row r="9509" spans="1:4" x14ac:dyDescent="0.25">
      <c r="A9509" t="s">
        <v>694</v>
      </c>
      <c r="B9509" t="s">
        <v>130</v>
      </c>
      <c r="C9509" s="2">
        <f>HYPERLINK("https://sao.dolgi.msk.ru/account/1404275056/", 1404275056)</f>
        <v>1404275056</v>
      </c>
      <c r="D9509">
        <v>13984.4</v>
      </c>
    </row>
    <row r="9510" spans="1:4" hidden="1" x14ac:dyDescent="0.25">
      <c r="A9510" t="s">
        <v>694</v>
      </c>
      <c r="B9510" t="s">
        <v>131</v>
      </c>
      <c r="C9510" s="2">
        <f>HYPERLINK("https://sao.dolgi.msk.ru/account/1404277721/", 1404277721)</f>
        <v>1404277721</v>
      </c>
      <c r="D9510">
        <v>0</v>
      </c>
    </row>
    <row r="9511" spans="1:4" hidden="1" x14ac:dyDescent="0.25">
      <c r="A9511" t="s">
        <v>694</v>
      </c>
      <c r="B9511" t="s">
        <v>132</v>
      </c>
      <c r="C9511" s="2">
        <f>HYPERLINK("https://sao.dolgi.msk.ru/account/1404276876/", 1404276876)</f>
        <v>1404276876</v>
      </c>
      <c r="D9511">
        <v>0</v>
      </c>
    </row>
    <row r="9512" spans="1:4" hidden="1" x14ac:dyDescent="0.25">
      <c r="A9512" t="s">
        <v>694</v>
      </c>
      <c r="B9512" t="s">
        <v>133</v>
      </c>
      <c r="C9512" s="2">
        <f>HYPERLINK("https://sao.dolgi.msk.ru/account/1404276884/", 1404276884)</f>
        <v>1404276884</v>
      </c>
      <c r="D9512">
        <v>0</v>
      </c>
    </row>
    <row r="9513" spans="1:4" x14ac:dyDescent="0.25">
      <c r="A9513" t="s">
        <v>694</v>
      </c>
      <c r="B9513" t="s">
        <v>134</v>
      </c>
      <c r="C9513" s="2">
        <f>HYPERLINK("https://sao.dolgi.msk.ru/account/1404277713/", 1404277713)</f>
        <v>1404277713</v>
      </c>
      <c r="D9513">
        <v>1069.5999999999999</v>
      </c>
    </row>
    <row r="9514" spans="1:4" hidden="1" x14ac:dyDescent="0.25">
      <c r="A9514" t="s">
        <v>694</v>
      </c>
      <c r="B9514" t="s">
        <v>135</v>
      </c>
      <c r="C9514" s="2">
        <f>HYPERLINK("https://sao.dolgi.msk.ru/account/1404273472/", 1404273472)</f>
        <v>1404273472</v>
      </c>
      <c r="D9514">
        <v>-10697.55</v>
      </c>
    </row>
    <row r="9515" spans="1:4" hidden="1" x14ac:dyDescent="0.25">
      <c r="A9515" t="s">
        <v>694</v>
      </c>
      <c r="B9515" t="s">
        <v>136</v>
      </c>
      <c r="C9515" s="2">
        <f>HYPERLINK("https://sao.dolgi.msk.ru/account/1404274897/", 1404274897)</f>
        <v>1404274897</v>
      </c>
      <c r="D9515">
        <v>-4141.6099999999997</v>
      </c>
    </row>
    <row r="9516" spans="1:4" hidden="1" x14ac:dyDescent="0.25">
      <c r="A9516" t="s">
        <v>694</v>
      </c>
      <c r="B9516" t="s">
        <v>137</v>
      </c>
      <c r="C9516" s="2">
        <f>HYPERLINK("https://sao.dolgi.msk.ru/account/1404273499/", 1404273499)</f>
        <v>1404273499</v>
      </c>
      <c r="D9516">
        <v>0</v>
      </c>
    </row>
    <row r="9517" spans="1:4" x14ac:dyDescent="0.25">
      <c r="A9517" t="s">
        <v>694</v>
      </c>
      <c r="B9517" t="s">
        <v>138</v>
      </c>
      <c r="C9517" s="2">
        <f>HYPERLINK("https://sao.dolgi.msk.ru/account/1404277932/", 1404277932)</f>
        <v>1404277932</v>
      </c>
      <c r="D9517">
        <v>12483.88</v>
      </c>
    </row>
    <row r="9518" spans="1:4" hidden="1" x14ac:dyDescent="0.25">
      <c r="A9518" t="s">
        <v>694</v>
      </c>
      <c r="B9518" t="s">
        <v>139</v>
      </c>
      <c r="C9518" s="2">
        <f>HYPERLINK("https://sao.dolgi.msk.ru/account/1404274811/", 1404274811)</f>
        <v>1404274811</v>
      </c>
      <c r="D9518">
        <v>-4162.76</v>
      </c>
    </row>
    <row r="9519" spans="1:4" hidden="1" x14ac:dyDescent="0.25">
      <c r="A9519" t="s">
        <v>694</v>
      </c>
      <c r="B9519" t="s">
        <v>140</v>
      </c>
      <c r="C9519" s="2">
        <f>HYPERLINK("https://sao.dolgi.msk.ru/account/1404273384/", 1404273384)</f>
        <v>1404273384</v>
      </c>
      <c r="D9519">
        <v>0</v>
      </c>
    </row>
    <row r="9520" spans="1:4" hidden="1" x14ac:dyDescent="0.25">
      <c r="A9520" t="s">
        <v>694</v>
      </c>
      <c r="B9520" t="s">
        <v>141</v>
      </c>
      <c r="C9520" s="2">
        <f>HYPERLINK("https://sao.dolgi.msk.ru/account/1404277182/", 1404277182)</f>
        <v>1404277182</v>
      </c>
      <c r="D9520">
        <v>-4987.1499999999996</v>
      </c>
    </row>
    <row r="9521" spans="1:4" hidden="1" x14ac:dyDescent="0.25">
      <c r="A9521" t="s">
        <v>694</v>
      </c>
      <c r="B9521" t="s">
        <v>142</v>
      </c>
      <c r="C9521" s="2">
        <f>HYPERLINK("https://sao.dolgi.msk.ru/account/1404277959/", 1404277959)</f>
        <v>1404277959</v>
      </c>
      <c r="D9521">
        <v>0</v>
      </c>
    </row>
    <row r="9522" spans="1:4" x14ac:dyDescent="0.25">
      <c r="A9522" t="s">
        <v>694</v>
      </c>
      <c r="B9522" t="s">
        <v>143</v>
      </c>
      <c r="C9522" s="2">
        <f>HYPERLINK("https://sao.dolgi.msk.ru/account/1404276366/", 1404276366)</f>
        <v>1404276366</v>
      </c>
      <c r="D9522">
        <v>17536.27</v>
      </c>
    </row>
    <row r="9523" spans="1:4" hidden="1" x14ac:dyDescent="0.25">
      <c r="A9523" t="s">
        <v>694</v>
      </c>
      <c r="B9523" t="s">
        <v>144</v>
      </c>
      <c r="C9523" s="2">
        <f>HYPERLINK("https://sao.dolgi.msk.ru/account/1404276374/", 1404276374)</f>
        <v>1404276374</v>
      </c>
      <c r="D9523">
        <v>-5039.53</v>
      </c>
    </row>
    <row r="9524" spans="1:4" hidden="1" x14ac:dyDescent="0.25">
      <c r="A9524" t="s">
        <v>694</v>
      </c>
      <c r="B9524" t="s">
        <v>145</v>
      </c>
      <c r="C9524" s="2">
        <f>HYPERLINK("https://sao.dolgi.msk.ru/account/1404274221/", 1404274221)</f>
        <v>1404274221</v>
      </c>
      <c r="D9524">
        <v>-3338.47</v>
      </c>
    </row>
    <row r="9525" spans="1:4" hidden="1" x14ac:dyDescent="0.25">
      <c r="A9525" t="s">
        <v>694</v>
      </c>
      <c r="B9525" t="s">
        <v>146</v>
      </c>
      <c r="C9525" s="2">
        <f>HYPERLINK("https://sao.dolgi.msk.ru/account/1404278695/", 1404278695)</f>
        <v>1404278695</v>
      </c>
      <c r="D9525">
        <v>-5384.6</v>
      </c>
    </row>
    <row r="9526" spans="1:4" hidden="1" x14ac:dyDescent="0.25">
      <c r="A9526" t="s">
        <v>694</v>
      </c>
      <c r="B9526" t="s">
        <v>147</v>
      </c>
      <c r="C9526" s="2">
        <f>HYPERLINK("https://sao.dolgi.msk.ru/account/1404275566/", 1404275566)</f>
        <v>1404275566</v>
      </c>
      <c r="D9526">
        <v>-8574.61</v>
      </c>
    </row>
    <row r="9527" spans="1:4" hidden="1" x14ac:dyDescent="0.25">
      <c r="A9527" t="s">
        <v>694</v>
      </c>
      <c r="B9527" t="s">
        <v>148</v>
      </c>
      <c r="C9527" s="2">
        <f>HYPERLINK("https://sao.dolgi.msk.ru/account/1404278708/", 1404278708)</f>
        <v>1404278708</v>
      </c>
      <c r="D9527">
        <v>-2328.84</v>
      </c>
    </row>
    <row r="9528" spans="1:4" hidden="1" x14ac:dyDescent="0.25">
      <c r="A9528" t="s">
        <v>694</v>
      </c>
      <c r="B9528" t="s">
        <v>149</v>
      </c>
      <c r="C9528" s="2">
        <f>HYPERLINK("https://sao.dolgi.msk.ru/account/1404277203/", 1404277203)</f>
        <v>1404277203</v>
      </c>
      <c r="D9528">
        <v>0</v>
      </c>
    </row>
    <row r="9529" spans="1:4" hidden="1" x14ac:dyDescent="0.25">
      <c r="A9529" t="s">
        <v>694</v>
      </c>
      <c r="B9529" t="s">
        <v>150</v>
      </c>
      <c r="C9529" s="2">
        <f>HYPERLINK("https://sao.dolgi.msk.ru/account/1404274248/", 1404274248)</f>
        <v>1404274248</v>
      </c>
      <c r="D9529">
        <v>-6009.78</v>
      </c>
    </row>
    <row r="9530" spans="1:4" hidden="1" x14ac:dyDescent="0.25">
      <c r="A9530" t="s">
        <v>694</v>
      </c>
      <c r="B9530" t="s">
        <v>151</v>
      </c>
      <c r="C9530" s="2">
        <f>HYPERLINK("https://sao.dolgi.msk.ru/account/1404275451/", 1404275451)</f>
        <v>1404275451</v>
      </c>
      <c r="D9530">
        <v>0</v>
      </c>
    </row>
    <row r="9531" spans="1:4" hidden="1" x14ac:dyDescent="0.25">
      <c r="A9531" t="s">
        <v>694</v>
      </c>
      <c r="B9531" t="s">
        <v>152</v>
      </c>
      <c r="C9531" s="2">
        <f>HYPERLINK("https://sao.dolgi.msk.ru/account/1404275232/", 1404275232)</f>
        <v>1404275232</v>
      </c>
      <c r="D9531">
        <v>-2099.27</v>
      </c>
    </row>
    <row r="9532" spans="1:4" hidden="1" x14ac:dyDescent="0.25">
      <c r="A9532" t="s">
        <v>694</v>
      </c>
      <c r="B9532" t="s">
        <v>152</v>
      </c>
      <c r="C9532" s="2">
        <f>HYPERLINK("https://sao.dolgi.msk.ru/account/1404276171/", 1404276171)</f>
        <v>1404276171</v>
      </c>
      <c r="D9532">
        <v>-3745.59</v>
      </c>
    </row>
    <row r="9533" spans="1:4" hidden="1" x14ac:dyDescent="0.25">
      <c r="A9533" t="s">
        <v>694</v>
      </c>
      <c r="B9533" t="s">
        <v>153</v>
      </c>
      <c r="C9533" s="2">
        <f>HYPERLINK("https://sao.dolgi.msk.ru/account/1404276198/", 1404276198)</f>
        <v>1404276198</v>
      </c>
      <c r="D9533">
        <v>-6390.6</v>
      </c>
    </row>
    <row r="9534" spans="1:4" hidden="1" x14ac:dyDescent="0.25">
      <c r="A9534" t="s">
        <v>694</v>
      </c>
      <c r="B9534" t="s">
        <v>154</v>
      </c>
      <c r="C9534" s="2">
        <f>HYPERLINK("https://sao.dolgi.msk.ru/account/1404278601/", 1404278601)</f>
        <v>1404278601</v>
      </c>
      <c r="D9534">
        <v>0</v>
      </c>
    </row>
    <row r="9535" spans="1:4" hidden="1" x14ac:dyDescent="0.25">
      <c r="A9535" t="s">
        <v>694</v>
      </c>
      <c r="B9535" t="s">
        <v>155</v>
      </c>
      <c r="C9535" s="2">
        <f>HYPERLINK("https://sao.dolgi.msk.ru/account/1404273245/", 1404273245)</f>
        <v>1404273245</v>
      </c>
      <c r="D9535">
        <v>-8627.2199999999993</v>
      </c>
    </row>
    <row r="9536" spans="1:4" hidden="1" x14ac:dyDescent="0.25">
      <c r="A9536" t="s">
        <v>694</v>
      </c>
      <c r="B9536" t="s">
        <v>156</v>
      </c>
      <c r="C9536" s="2">
        <f>HYPERLINK("https://sao.dolgi.msk.ru/account/1404274678/", 1404274678)</f>
        <v>1404274678</v>
      </c>
      <c r="D9536">
        <v>-6361.56</v>
      </c>
    </row>
    <row r="9537" spans="1:4" hidden="1" x14ac:dyDescent="0.25">
      <c r="A9537" t="s">
        <v>694</v>
      </c>
      <c r="B9537" t="s">
        <v>157</v>
      </c>
      <c r="C9537" s="2">
        <f>HYPERLINK("https://sao.dolgi.msk.ru/account/1404275478/", 1404275478)</f>
        <v>1404275478</v>
      </c>
      <c r="D9537">
        <v>0</v>
      </c>
    </row>
    <row r="9538" spans="1:4" hidden="1" x14ac:dyDescent="0.25">
      <c r="A9538" t="s">
        <v>694</v>
      </c>
      <c r="B9538" t="s">
        <v>158</v>
      </c>
      <c r="C9538" s="2">
        <f>HYPERLINK("https://sao.dolgi.msk.ru/account/1404274125/", 1404274125)</f>
        <v>1404274125</v>
      </c>
      <c r="D9538">
        <v>-4925.1899999999996</v>
      </c>
    </row>
    <row r="9539" spans="1:4" hidden="1" x14ac:dyDescent="0.25">
      <c r="A9539" t="s">
        <v>694</v>
      </c>
      <c r="B9539" t="s">
        <v>159</v>
      </c>
      <c r="C9539" s="2">
        <f>HYPERLINK("https://sao.dolgi.msk.ru/account/1404278628/", 1404278628)</f>
        <v>1404278628</v>
      </c>
      <c r="D9539">
        <v>0</v>
      </c>
    </row>
    <row r="9540" spans="1:4" x14ac:dyDescent="0.25">
      <c r="A9540" t="s">
        <v>694</v>
      </c>
      <c r="B9540" t="s">
        <v>160</v>
      </c>
      <c r="C9540" s="2">
        <f>HYPERLINK("https://sao.dolgi.msk.ru/account/1404276219/", 1404276219)</f>
        <v>1404276219</v>
      </c>
      <c r="D9540">
        <v>1426.07</v>
      </c>
    </row>
    <row r="9541" spans="1:4" hidden="1" x14ac:dyDescent="0.25">
      <c r="A9541" t="s">
        <v>694</v>
      </c>
      <c r="B9541" t="s">
        <v>161</v>
      </c>
      <c r="C9541" s="2">
        <f>HYPERLINK("https://sao.dolgi.msk.ru/account/1404273253/", 1404273253)</f>
        <v>1404273253</v>
      </c>
      <c r="D9541">
        <v>-3236.23</v>
      </c>
    </row>
    <row r="9542" spans="1:4" hidden="1" x14ac:dyDescent="0.25">
      <c r="A9542" t="s">
        <v>694</v>
      </c>
      <c r="B9542" t="s">
        <v>162</v>
      </c>
      <c r="C9542" s="2">
        <f>HYPERLINK("https://sao.dolgi.msk.ru/account/1404276681/", 1404276681)</f>
        <v>1404276681</v>
      </c>
      <c r="D9542">
        <v>-5744.96</v>
      </c>
    </row>
    <row r="9543" spans="1:4" x14ac:dyDescent="0.25">
      <c r="A9543" t="s">
        <v>694</v>
      </c>
      <c r="B9543" t="s">
        <v>163</v>
      </c>
      <c r="C9543" s="2">
        <f>HYPERLINK("https://sao.dolgi.msk.ru/account/1404275902/", 1404275902)</f>
        <v>1404275902</v>
      </c>
      <c r="D9543">
        <v>38162.589999999997</v>
      </c>
    </row>
    <row r="9544" spans="1:4" x14ac:dyDescent="0.25">
      <c r="A9544" t="s">
        <v>694</v>
      </c>
      <c r="B9544" t="s">
        <v>164</v>
      </c>
      <c r="C9544" s="2">
        <f>HYPERLINK("https://sao.dolgi.msk.ru/account/1404276702/", 1404276702)</f>
        <v>1404276702</v>
      </c>
      <c r="D9544">
        <v>1031.8800000000001</v>
      </c>
    </row>
    <row r="9545" spans="1:4" x14ac:dyDescent="0.25">
      <c r="A9545" t="s">
        <v>694</v>
      </c>
      <c r="B9545" t="s">
        <v>165</v>
      </c>
      <c r="C9545" s="2">
        <f>HYPERLINK("https://sao.dolgi.msk.ru/account/1404276729/", 1404276729)</f>
        <v>1404276729</v>
      </c>
      <c r="D9545">
        <v>4472.96</v>
      </c>
    </row>
    <row r="9546" spans="1:4" x14ac:dyDescent="0.25">
      <c r="A9546" t="s">
        <v>694</v>
      </c>
      <c r="B9546" t="s">
        <v>166</v>
      </c>
      <c r="C9546" s="2">
        <f>HYPERLINK("https://sao.dolgi.msk.ru/account/1404274424/", 1404274424)</f>
        <v>1404274424</v>
      </c>
      <c r="D9546">
        <v>6999.55</v>
      </c>
    </row>
    <row r="9547" spans="1:4" hidden="1" x14ac:dyDescent="0.25">
      <c r="A9547" t="s">
        <v>694</v>
      </c>
      <c r="B9547" t="s">
        <v>167</v>
      </c>
      <c r="C9547" s="2">
        <f>HYPERLINK("https://sao.dolgi.msk.ru/account/1404275128/", 1404275128)</f>
        <v>1404275128</v>
      </c>
      <c r="D9547">
        <v>-6106.57</v>
      </c>
    </row>
    <row r="9548" spans="1:4" hidden="1" x14ac:dyDescent="0.25">
      <c r="A9548" t="s">
        <v>694</v>
      </c>
      <c r="B9548" t="s">
        <v>168</v>
      </c>
      <c r="C9548" s="2">
        <f>HYPERLINK("https://sao.dolgi.msk.ru/account/1404274432/", 1404274432)</f>
        <v>1404274432</v>
      </c>
      <c r="D9548">
        <v>0</v>
      </c>
    </row>
    <row r="9549" spans="1:4" x14ac:dyDescent="0.25">
      <c r="A9549" t="s">
        <v>694</v>
      </c>
      <c r="B9549" t="s">
        <v>169</v>
      </c>
      <c r="C9549" s="2">
        <f>HYPERLINK("https://sao.dolgi.msk.ru/account/1404275136/", 1404275136)</f>
        <v>1404275136</v>
      </c>
      <c r="D9549">
        <v>761.24</v>
      </c>
    </row>
    <row r="9550" spans="1:4" x14ac:dyDescent="0.25">
      <c r="A9550" t="s">
        <v>694</v>
      </c>
      <c r="B9550" t="s">
        <v>170</v>
      </c>
      <c r="C9550" s="2">
        <f>HYPERLINK("https://sao.dolgi.msk.ru/account/1404277588/", 1404277588)</f>
        <v>1404277588</v>
      </c>
      <c r="D9550">
        <v>35876.18</v>
      </c>
    </row>
    <row r="9551" spans="1:4" hidden="1" x14ac:dyDescent="0.25">
      <c r="A9551" t="s">
        <v>694</v>
      </c>
      <c r="B9551" t="s">
        <v>171</v>
      </c>
      <c r="C9551" s="2">
        <f>HYPERLINK("https://sao.dolgi.msk.ru/account/1404275929/", 1404275929)</f>
        <v>1404275929</v>
      </c>
      <c r="D9551">
        <v>0</v>
      </c>
    </row>
    <row r="9552" spans="1:4" hidden="1" x14ac:dyDescent="0.25">
      <c r="A9552" t="s">
        <v>694</v>
      </c>
      <c r="B9552" t="s">
        <v>172</v>
      </c>
      <c r="C9552" s="2">
        <f>HYPERLINK("https://sao.dolgi.msk.ru/account/1404278329/", 1404278329)</f>
        <v>1404278329</v>
      </c>
      <c r="D9552">
        <v>-7040.2</v>
      </c>
    </row>
    <row r="9553" spans="1:4" x14ac:dyDescent="0.25">
      <c r="A9553" t="s">
        <v>694</v>
      </c>
      <c r="B9553" t="s">
        <v>173</v>
      </c>
      <c r="C9553" s="2">
        <f>HYPERLINK("https://sao.dolgi.msk.ru/account/1404276737/", 1404276737)</f>
        <v>1404276737</v>
      </c>
      <c r="D9553">
        <v>2478.11</v>
      </c>
    </row>
    <row r="9554" spans="1:4" hidden="1" x14ac:dyDescent="0.25">
      <c r="A9554" t="s">
        <v>694</v>
      </c>
      <c r="B9554" t="s">
        <v>174</v>
      </c>
      <c r="C9554" s="2">
        <f>HYPERLINK("https://sao.dolgi.msk.ru/account/1404276745/", 1404276745)</f>
        <v>1404276745</v>
      </c>
      <c r="D9554">
        <v>-3756.96</v>
      </c>
    </row>
    <row r="9555" spans="1:4" hidden="1" x14ac:dyDescent="0.25">
      <c r="A9555" t="s">
        <v>694</v>
      </c>
      <c r="B9555" t="s">
        <v>175</v>
      </c>
      <c r="C9555" s="2">
        <f>HYPERLINK("https://sao.dolgi.msk.ru/account/1404274459/", 1404274459)</f>
        <v>1404274459</v>
      </c>
      <c r="D9555">
        <v>-7970.06</v>
      </c>
    </row>
    <row r="9556" spans="1:4" hidden="1" x14ac:dyDescent="0.25">
      <c r="A9556" t="s">
        <v>694</v>
      </c>
      <c r="B9556" t="s">
        <v>176</v>
      </c>
      <c r="C9556" s="2">
        <f>HYPERLINK("https://sao.dolgi.msk.ru/account/1404273683/", 1404273683)</f>
        <v>1404273683</v>
      </c>
      <c r="D9556">
        <v>0</v>
      </c>
    </row>
    <row r="9557" spans="1:4" hidden="1" x14ac:dyDescent="0.25">
      <c r="A9557" t="s">
        <v>694</v>
      </c>
      <c r="B9557" t="s">
        <v>177</v>
      </c>
      <c r="C9557" s="2">
        <f>HYPERLINK("https://sao.dolgi.msk.ru/account/1404273691/", 1404273691)</f>
        <v>1404273691</v>
      </c>
      <c r="D9557">
        <v>0</v>
      </c>
    </row>
    <row r="9558" spans="1:4" x14ac:dyDescent="0.25">
      <c r="A9558" t="s">
        <v>694</v>
      </c>
      <c r="B9558" t="s">
        <v>178</v>
      </c>
      <c r="C9558" s="2">
        <f>HYPERLINK("https://sao.dolgi.msk.ru/account/1404278986/", 1404278986)</f>
        <v>1404278986</v>
      </c>
      <c r="D9558">
        <v>15666.81</v>
      </c>
    </row>
    <row r="9559" spans="1:4" x14ac:dyDescent="0.25">
      <c r="A9559" t="s">
        <v>694</v>
      </c>
      <c r="B9559" t="s">
        <v>179</v>
      </c>
      <c r="C9559" s="2">
        <f>HYPERLINK("https://sao.dolgi.msk.ru/account/1404277596/", 1404277596)</f>
        <v>1404277596</v>
      </c>
      <c r="D9559">
        <v>106161.68</v>
      </c>
    </row>
    <row r="9560" spans="1:4" hidden="1" x14ac:dyDescent="0.25">
      <c r="A9560" t="s">
        <v>694</v>
      </c>
      <c r="B9560" t="s">
        <v>180</v>
      </c>
      <c r="C9560" s="2">
        <f>HYPERLINK("https://sao.dolgi.msk.ru/account/1404275849/", 1404275849)</f>
        <v>1404275849</v>
      </c>
      <c r="D9560">
        <v>-1881.48</v>
      </c>
    </row>
    <row r="9561" spans="1:4" hidden="1" x14ac:dyDescent="0.25">
      <c r="A9561" t="s">
        <v>694</v>
      </c>
      <c r="B9561" t="s">
        <v>180</v>
      </c>
      <c r="C9561" s="2">
        <f>HYPERLINK("https://sao.dolgi.msk.ru/account/1404278345/", 1404278345)</f>
        <v>1404278345</v>
      </c>
      <c r="D9561">
        <v>-1497.58</v>
      </c>
    </row>
    <row r="9562" spans="1:4" hidden="1" x14ac:dyDescent="0.25">
      <c r="A9562" t="s">
        <v>694</v>
      </c>
      <c r="B9562" t="s">
        <v>181</v>
      </c>
      <c r="C9562" s="2">
        <f>HYPERLINK("https://sao.dolgi.msk.ru/account/1404278353/", 1404278353)</f>
        <v>1404278353</v>
      </c>
      <c r="D9562">
        <v>-1883.77</v>
      </c>
    </row>
    <row r="9563" spans="1:4" hidden="1" x14ac:dyDescent="0.25">
      <c r="A9563" t="s">
        <v>694</v>
      </c>
      <c r="B9563" t="s">
        <v>182</v>
      </c>
      <c r="C9563" s="2">
        <f>HYPERLINK("https://sao.dolgi.msk.ru/account/1404275144/", 1404275144)</f>
        <v>1404275144</v>
      </c>
      <c r="D9563">
        <v>-4909.78</v>
      </c>
    </row>
    <row r="9564" spans="1:4" hidden="1" x14ac:dyDescent="0.25">
      <c r="A9564" t="s">
        <v>694</v>
      </c>
      <c r="B9564" t="s">
        <v>183</v>
      </c>
      <c r="C9564" s="2">
        <f>HYPERLINK("https://sao.dolgi.msk.ru/account/1404278994/", 1404278994)</f>
        <v>1404278994</v>
      </c>
      <c r="D9564">
        <v>0</v>
      </c>
    </row>
    <row r="9565" spans="1:4" hidden="1" x14ac:dyDescent="0.25">
      <c r="A9565" t="s">
        <v>694</v>
      </c>
      <c r="B9565" t="s">
        <v>184</v>
      </c>
      <c r="C9565" s="2">
        <f>HYPERLINK("https://sao.dolgi.msk.ru/account/1404279006/", 1404279006)</f>
        <v>1404279006</v>
      </c>
      <c r="D9565">
        <v>-7760.89</v>
      </c>
    </row>
    <row r="9566" spans="1:4" hidden="1" x14ac:dyDescent="0.25">
      <c r="A9566" t="s">
        <v>694</v>
      </c>
      <c r="B9566" t="s">
        <v>185</v>
      </c>
      <c r="C9566" s="2">
        <f>HYPERLINK("https://sao.dolgi.msk.ru/account/1404276753/", 1404276753)</f>
        <v>1404276753</v>
      </c>
      <c r="D9566">
        <v>-4124.63</v>
      </c>
    </row>
    <row r="9567" spans="1:4" x14ac:dyDescent="0.25">
      <c r="A9567" t="s">
        <v>694</v>
      </c>
      <c r="B9567" t="s">
        <v>186</v>
      </c>
      <c r="C9567" s="2">
        <f>HYPERLINK("https://sao.dolgi.msk.ru/account/1404274475/", 1404274475)</f>
        <v>1404274475</v>
      </c>
      <c r="D9567">
        <v>18967</v>
      </c>
    </row>
    <row r="9568" spans="1:4" hidden="1" x14ac:dyDescent="0.25">
      <c r="A9568" t="s">
        <v>694</v>
      </c>
      <c r="B9568" t="s">
        <v>187</v>
      </c>
      <c r="C9568" s="2">
        <f>HYPERLINK("https://sao.dolgi.msk.ru/account/1404279014/", 1404279014)</f>
        <v>1404279014</v>
      </c>
      <c r="D9568">
        <v>-7694.06</v>
      </c>
    </row>
    <row r="9569" spans="1:4" hidden="1" x14ac:dyDescent="0.25">
      <c r="A9569" t="s">
        <v>694</v>
      </c>
      <c r="B9569" t="s">
        <v>188</v>
      </c>
      <c r="C9569" s="2">
        <f>HYPERLINK("https://sao.dolgi.msk.ru/account/1404276761/", 1404276761)</f>
        <v>1404276761</v>
      </c>
      <c r="D9569">
        <v>-5105.55</v>
      </c>
    </row>
    <row r="9570" spans="1:4" hidden="1" x14ac:dyDescent="0.25">
      <c r="A9570" t="s">
        <v>694</v>
      </c>
      <c r="B9570" t="s">
        <v>189</v>
      </c>
      <c r="C9570" s="2">
        <f>HYPERLINK("https://sao.dolgi.msk.ru/account/1404273704/", 1404273704)</f>
        <v>1404273704</v>
      </c>
      <c r="D9570">
        <v>0</v>
      </c>
    </row>
    <row r="9571" spans="1:4" hidden="1" x14ac:dyDescent="0.25">
      <c r="A9571" t="s">
        <v>694</v>
      </c>
      <c r="B9571" t="s">
        <v>190</v>
      </c>
      <c r="C9571" s="2">
        <f>HYPERLINK("https://sao.dolgi.msk.ru/account/1404278716/", 1404278716)</f>
        <v>1404278716</v>
      </c>
      <c r="D9571">
        <v>-1916.01</v>
      </c>
    </row>
    <row r="9572" spans="1:4" hidden="1" x14ac:dyDescent="0.25">
      <c r="A9572" t="s">
        <v>694</v>
      </c>
      <c r="B9572" t="s">
        <v>190</v>
      </c>
      <c r="C9572" s="2">
        <f>HYPERLINK("https://sao.dolgi.msk.ru/account/1404279022/", 1404279022)</f>
        <v>1404279022</v>
      </c>
      <c r="D9572">
        <v>-2213.0100000000002</v>
      </c>
    </row>
    <row r="9573" spans="1:4" hidden="1" x14ac:dyDescent="0.25">
      <c r="A9573" t="s">
        <v>694</v>
      </c>
      <c r="B9573" t="s">
        <v>191</v>
      </c>
      <c r="C9573" s="2">
        <f>HYPERLINK("https://sao.dolgi.msk.ru/account/1404275152/", 1404275152)</f>
        <v>1404275152</v>
      </c>
      <c r="D9573">
        <v>-9595.24</v>
      </c>
    </row>
    <row r="9574" spans="1:4" x14ac:dyDescent="0.25">
      <c r="A9574" t="s">
        <v>694</v>
      </c>
      <c r="B9574" t="s">
        <v>192</v>
      </c>
      <c r="C9574" s="2">
        <f>HYPERLINK("https://sao.dolgi.msk.ru/account/1404277799/", 1404277799)</f>
        <v>1404277799</v>
      </c>
      <c r="D9574">
        <v>8185.65</v>
      </c>
    </row>
    <row r="9575" spans="1:4" hidden="1" x14ac:dyDescent="0.25">
      <c r="A9575" t="s">
        <v>694</v>
      </c>
      <c r="B9575" t="s">
        <v>193</v>
      </c>
      <c r="C9575" s="2">
        <f>HYPERLINK("https://sao.dolgi.msk.ru/account/1404279233/", 1404279233)</f>
        <v>1404279233</v>
      </c>
      <c r="D9575">
        <v>-1360.19</v>
      </c>
    </row>
    <row r="9576" spans="1:4" x14ac:dyDescent="0.25">
      <c r="A9576" t="s">
        <v>694</v>
      </c>
      <c r="B9576" t="s">
        <v>194</v>
      </c>
      <c r="C9576" s="2">
        <f>HYPERLINK("https://sao.dolgi.msk.ru/account/1404278206/", 1404278206)</f>
        <v>1404278206</v>
      </c>
      <c r="D9576">
        <v>3056.02</v>
      </c>
    </row>
    <row r="9577" spans="1:4" hidden="1" x14ac:dyDescent="0.25">
      <c r="A9577" t="s">
        <v>694</v>
      </c>
      <c r="B9577" t="s">
        <v>195</v>
      </c>
      <c r="C9577" s="2">
        <f>HYPERLINK("https://sao.dolgi.msk.ru/account/1404274942/", 1404274942)</f>
        <v>1404274942</v>
      </c>
      <c r="D9577">
        <v>-7432.07</v>
      </c>
    </row>
    <row r="9578" spans="1:4" hidden="1" x14ac:dyDescent="0.25">
      <c r="A9578" t="s">
        <v>694</v>
      </c>
      <c r="B9578" t="s">
        <v>196</v>
      </c>
      <c r="C9578" s="2">
        <f>HYPERLINK("https://sao.dolgi.msk.ru/account/1404274969/", 1404274969)</f>
        <v>1404274969</v>
      </c>
      <c r="D9578">
        <v>-5845.37</v>
      </c>
    </row>
    <row r="9579" spans="1:4" x14ac:dyDescent="0.25">
      <c r="A9579" t="s">
        <v>694</v>
      </c>
      <c r="B9579" t="s">
        <v>197</v>
      </c>
      <c r="C9579" s="2">
        <f>HYPERLINK("https://sao.dolgi.msk.ru/account/1404274977/", 1404274977)</f>
        <v>1404274977</v>
      </c>
      <c r="D9579">
        <v>14104.88</v>
      </c>
    </row>
    <row r="9580" spans="1:4" x14ac:dyDescent="0.25">
      <c r="A9580" t="s">
        <v>694</v>
      </c>
      <c r="B9580" t="s">
        <v>198</v>
      </c>
      <c r="C9580" s="2">
        <f>HYPERLINK("https://sao.dolgi.msk.ru/account/1404279321/", 1404279321)</f>
        <v>1404279321</v>
      </c>
      <c r="D9580">
        <v>1942.95</v>
      </c>
    </row>
    <row r="9581" spans="1:4" x14ac:dyDescent="0.25">
      <c r="A9581" t="s">
        <v>694</v>
      </c>
      <c r="B9581" t="s">
        <v>199</v>
      </c>
      <c r="C9581" s="2">
        <f>HYPERLINK("https://sao.dolgi.msk.ru/account/1404275355/", 1404275355)</f>
        <v>1404275355</v>
      </c>
      <c r="D9581">
        <v>28194.89</v>
      </c>
    </row>
    <row r="9582" spans="1:4" hidden="1" x14ac:dyDescent="0.25">
      <c r="A9582" t="s">
        <v>694</v>
      </c>
      <c r="B9582" t="s">
        <v>199</v>
      </c>
      <c r="C9582" s="2">
        <f>HYPERLINK("https://sao.dolgi.msk.ru/account/1404275398/", 1404275398)</f>
        <v>1404275398</v>
      </c>
      <c r="D9582">
        <v>0</v>
      </c>
    </row>
    <row r="9583" spans="1:4" hidden="1" x14ac:dyDescent="0.25">
      <c r="A9583" t="s">
        <v>694</v>
      </c>
      <c r="B9583" t="s">
        <v>200</v>
      </c>
      <c r="C9583" s="2">
        <f>HYPERLINK("https://sao.dolgi.msk.ru/account/1404274061/", 1404274061)</f>
        <v>1404274061</v>
      </c>
      <c r="D9583">
        <v>-6548.25</v>
      </c>
    </row>
    <row r="9584" spans="1:4" hidden="1" x14ac:dyDescent="0.25">
      <c r="A9584" t="s">
        <v>694</v>
      </c>
      <c r="B9584" t="s">
        <v>200</v>
      </c>
      <c r="C9584" s="2">
        <f>HYPERLINK("https://sao.dolgi.msk.ru/account/1404277019/", 1404277019)</f>
        <v>1404277019</v>
      </c>
      <c r="D9584">
        <v>0</v>
      </c>
    </row>
    <row r="9585" spans="1:4" hidden="1" x14ac:dyDescent="0.25">
      <c r="A9585" t="s">
        <v>694</v>
      </c>
      <c r="B9585" t="s">
        <v>201</v>
      </c>
      <c r="C9585" s="2">
        <f>HYPERLINK("https://sao.dolgi.msk.ru/account/1404275419/", 1404275419)</f>
        <v>1404275419</v>
      </c>
      <c r="D9585">
        <v>0</v>
      </c>
    </row>
    <row r="9586" spans="1:4" hidden="1" x14ac:dyDescent="0.25">
      <c r="A9586" t="s">
        <v>694</v>
      </c>
      <c r="B9586" t="s">
        <v>202</v>
      </c>
      <c r="C9586" s="2">
        <f>HYPERLINK("https://sao.dolgi.msk.ru/account/1404279348/", 1404279348)</f>
        <v>1404279348</v>
      </c>
      <c r="D9586">
        <v>-4582.6899999999996</v>
      </c>
    </row>
    <row r="9587" spans="1:4" hidden="1" x14ac:dyDescent="0.25">
      <c r="A9587" t="s">
        <v>694</v>
      </c>
      <c r="B9587" t="s">
        <v>203</v>
      </c>
      <c r="C9587" s="2">
        <f>HYPERLINK("https://sao.dolgi.msk.ru/account/1404278572/", 1404278572)</f>
        <v>1404278572</v>
      </c>
      <c r="D9587">
        <v>0</v>
      </c>
    </row>
    <row r="9588" spans="1:4" x14ac:dyDescent="0.25">
      <c r="A9588" t="s">
        <v>694</v>
      </c>
      <c r="B9588" t="s">
        <v>204</v>
      </c>
      <c r="C9588" s="2">
        <f>HYPERLINK("https://sao.dolgi.msk.ru/account/1404276163/", 1404276163)</f>
        <v>1404276163</v>
      </c>
      <c r="D9588">
        <v>79572.52</v>
      </c>
    </row>
    <row r="9589" spans="1:4" hidden="1" x14ac:dyDescent="0.25">
      <c r="A9589" t="s">
        <v>694</v>
      </c>
      <c r="B9589" t="s">
        <v>205</v>
      </c>
      <c r="C9589" s="2">
        <f>HYPERLINK("https://sao.dolgi.msk.ru/account/1404274088/", 1404274088)</f>
        <v>1404274088</v>
      </c>
      <c r="D9589">
        <v>-5030.96</v>
      </c>
    </row>
    <row r="9590" spans="1:4" hidden="1" x14ac:dyDescent="0.25">
      <c r="A9590" t="s">
        <v>694</v>
      </c>
      <c r="B9590" t="s">
        <v>206</v>
      </c>
      <c r="C9590" s="2">
        <f>HYPERLINK("https://sao.dolgi.msk.ru/account/1404275435/", 1404275435)</f>
        <v>1404275435</v>
      </c>
      <c r="D9590">
        <v>-5798.23</v>
      </c>
    </row>
    <row r="9591" spans="1:4" hidden="1" x14ac:dyDescent="0.25">
      <c r="A9591" t="s">
        <v>694</v>
      </c>
      <c r="B9591" t="s">
        <v>207</v>
      </c>
      <c r="C9591" s="2">
        <f>HYPERLINK("https://sao.dolgi.msk.ru/account/1404274096/", 1404274096)</f>
        <v>1404274096</v>
      </c>
      <c r="D9591">
        <v>-58.38</v>
      </c>
    </row>
    <row r="9592" spans="1:4" hidden="1" x14ac:dyDescent="0.25">
      <c r="A9592" t="s">
        <v>694</v>
      </c>
      <c r="B9592" t="s">
        <v>208</v>
      </c>
      <c r="C9592" s="2">
        <f>HYPERLINK("https://sao.dolgi.msk.ru/account/1404279356/", 1404279356)</f>
        <v>1404279356</v>
      </c>
      <c r="D9592">
        <v>-6724.12</v>
      </c>
    </row>
    <row r="9593" spans="1:4" hidden="1" x14ac:dyDescent="0.25">
      <c r="A9593" t="s">
        <v>694</v>
      </c>
      <c r="B9593" t="s">
        <v>209</v>
      </c>
      <c r="C9593" s="2">
        <f>HYPERLINK("https://sao.dolgi.msk.ru/account/1404277027/", 1404277027)</f>
        <v>1404277027</v>
      </c>
      <c r="D9593">
        <v>-4111.46</v>
      </c>
    </row>
    <row r="9594" spans="1:4" hidden="1" x14ac:dyDescent="0.25">
      <c r="A9594" t="s">
        <v>694</v>
      </c>
      <c r="B9594" t="s">
        <v>210</v>
      </c>
      <c r="C9594" s="2">
        <f>HYPERLINK("https://sao.dolgi.msk.ru/account/1404279364/", 1404279364)</f>
        <v>1404279364</v>
      </c>
      <c r="D9594">
        <v>-3383.56</v>
      </c>
    </row>
    <row r="9595" spans="1:4" hidden="1" x14ac:dyDescent="0.25">
      <c r="A9595" t="s">
        <v>694</v>
      </c>
      <c r="B9595" t="s">
        <v>211</v>
      </c>
      <c r="C9595" s="2">
        <f>HYPERLINK("https://sao.dolgi.msk.ru/account/1404277035/", 1404277035)</f>
        <v>1404277035</v>
      </c>
      <c r="D9595">
        <v>-5171.6400000000003</v>
      </c>
    </row>
    <row r="9596" spans="1:4" hidden="1" x14ac:dyDescent="0.25">
      <c r="A9596" t="s">
        <v>694</v>
      </c>
      <c r="B9596" t="s">
        <v>212</v>
      </c>
      <c r="C9596" s="2">
        <f>HYPERLINK("https://sao.dolgi.msk.ru/account/1404274109/", 1404274109)</f>
        <v>1404274109</v>
      </c>
      <c r="D9596">
        <v>-7043.01</v>
      </c>
    </row>
    <row r="9597" spans="1:4" x14ac:dyDescent="0.25">
      <c r="A9597" t="s">
        <v>694</v>
      </c>
      <c r="B9597" t="s">
        <v>213</v>
      </c>
      <c r="C9597" s="2">
        <f>HYPERLINK("https://sao.dolgi.msk.ru/account/1404274117/", 1404274117)</f>
        <v>1404274117</v>
      </c>
      <c r="D9597">
        <v>32846.699999999997</v>
      </c>
    </row>
    <row r="9598" spans="1:4" hidden="1" x14ac:dyDescent="0.25">
      <c r="A9598" t="s">
        <v>694</v>
      </c>
      <c r="B9598" t="s">
        <v>214</v>
      </c>
      <c r="C9598" s="2">
        <f>HYPERLINK("https://sao.dolgi.msk.ru/account/1404275443/", 1404275443)</f>
        <v>1404275443</v>
      </c>
      <c r="D9598">
        <v>-5544.23</v>
      </c>
    </row>
    <row r="9599" spans="1:4" x14ac:dyDescent="0.25">
      <c r="A9599" t="s">
        <v>694</v>
      </c>
      <c r="B9599" t="s">
        <v>215</v>
      </c>
      <c r="C9599" s="2">
        <f>HYPERLINK("https://sao.dolgi.msk.ru/account/1404277211/", 1404277211)</f>
        <v>1404277211</v>
      </c>
      <c r="D9599">
        <v>10689.2</v>
      </c>
    </row>
    <row r="9600" spans="1:4" hidden="1" x14ac:dyDescent="0.25">
      <c r="A9600" t="s">
        <v>694</v>
      </c>
      <c r="B9600" t="s">
        <v>216</v>
      </c>
      <c r="C9600" s="2">
        <f>HYPERLINK("https://sao.dolgi.msk.ru/account/1404277975/", 1404277975)</f>
        <v>1404277975</v>
      </c>
      <c r="D9600">
        <v>-5455.82</v>
      </c>
    </row>
    <row r="9601" spans="1:4" x14ac:dyDescent="0.25">
      <c r="A9601" t="s">
        <v>694</v>
      </c>
      <c r="B9601" t="s">
        <v>217</v>
      </c>
      <c r="C9601" s="2">
        <f>HYPERLINK("https://sao.dolgi.msk.ru/account/1404274264/", 1404274264)</f>
        <v>1404274264</v>
      </c>
      <c r="D9601">
        <v>20148.599999999999</v>
      </c>
    </row>
    <row r="9602" spans="1:4" hidden="1" x14ac:dyDescent="0.25">
      <c r="A9602" t="s">
        <v>694</v>
      </c>
      <c r="B9602" t="s">
        <v>218</v>
      </c>
      <c r="C9602" s="2">
        <f>HYPERLINK("https://sao.dolgi.msk.ru/account/1404274272/", 1404274272)</f>
        <v>1404274272</v>
      </c>
      <c r="D9602">
        <v>-6366.76</v>
      </c>
    </row>
    <row r="9603" spans="1:4" x14ac:dyDescent="0.25">
      <c r="A9603" t="s">
        <v>694</v>
      </c>
      <c r="B9603" t="s">
        <v>219</v>
      </c>
      <c r="C9603" s="2">
        <f>HYPERLINK("https://sao.dolgi.msk.ru/account/1404277983/", 1404277983)</f>
        <v>1404277983</v>
      </c>
      <c r="D9603">
        <v>35501.760000000002</v>
      </c>
    </row>
    <row r="9604" spans="1:4" hidden="1" x14ac:dyDescent="0.25">
      <c r="A9604" t="s">
        <v>694</v>
      </c>
      <c r="B9604" t="s">
        <v>220</v>
      </c>
      <c r="C9604" s="2">
        <f>HYPERLINK("https://sao.dolgi.msk.ru/account/1404276403/", 1404276403)</f>
        <v>1404276403</v>
      </c>
      <c r="D9604">
        <v>-4934.05</v>
      </c>
    </row>
    <row r="9605" spans="1:4" x14ac:dyDescent="0.25">
      <c r="A9605" t="s">
        <v>694</v>
      </c>
      <c r="B9605" t="s">
        <v>221</v>
      </c>
      <c r="C9605" s="2">
        <f>HYPERLINK("https://sao.dolgi.msk.ru/account/1404274846/", 1404274846)</f>
        <v>1404274846</v>
      </c>
      <c r="D9605">
        <v>12304.68</v>
      </c>
    </row>
    <row r="9606" spans="1:4" hidden="1" x14ac:dyDescent="0.25">
      <c r="A9606" t="s">
        <v>694</v>
      </c>
      <c r="B9606" t="s">
        <v>222</v>
      </c>
      <c r="C9606" s="2">
        <f>HYPERLINK("https://sao.dolgi.msk.ru/account/1404276286/", 1404276286)</f>
        <v>1404276286</v>
      </c>
      <c r="D9606">
        <v>-5180.63</v>
      </c>
    </row>
    <row r="9607" spans="1:4" hidden="1" x14ac:dyDescent="0.25">
      <c r="A9607" t="s">
        <v>694</v>
      </c>
      <c r="B9607" t="s">
        <v>223</v>
      </c>
      <c r="C9607" s="2">
        <f>HYPERLINK("https://sao.dolgi.msk.ru/account/1404277086/", 1404277086)</f>
        <v>1404277086</v>
      </c>
      <c r="D9607">
        <v>-13546.5</v>
      </c>
    </row>
    <row r="9608" spans="1:4" x14ac:dyDescent="0.25">
      <c r="A9608" t="s">
        <v>694</v>
      </c>
      <c r="B9608" t="s">
        <v>224</v>
      </c>
      <c r="C9608" s="2">
        <f>HYPERLINK("https://sao.dolgi.msk.ru/account/1404274029/", 1404274029)</f>
        <v>1404274029</v>
      </c>
      <c r="D9608">
        <v>14505.72</v>
      </c>
    </row>
    <row r="9609" spans="1:4" hidden="1" x14ac:dyDescent="0.25">
      <c r="A9609" t="s">
        <v>694</v>
      </c>
      <c r="B9609" t="s">
        <v>224</v>
      </c>
      <c r="C9609" s="2">
        <f>HYPERLINK("https://sao.dolgi.msk.ru/account/1404277895/", 1404277895)</f>
        <v>1404277895</v>
      </c>
      <c r="D9609">
        <v>0</v>
      </c>
    </row>
    <row r="9610" spans="1:4" hidden="1" x14ac:dyDescent="0.25">
      <c r="A9610" t="s">
        <v>694</v>
      </c>
      <c r="B9610" t="s">
        <v>225</v>
      </c>
      <c r="C9610" s="2">
        <f>HYPERLINK("https://sao.dolgi.msk.ru/account/1404274707/", 1404274707)</f>
        <v>1404274707</v>
      </c>
      <c r="D9610">
        <v>-4643.18</v>
      </c>
    </row>
    <row r="9611" spans="1:4" x14ac:dyDescent="0.25">
      <c r="A9611" t="s">
        <v>694</v>
      </c>
      <c r="B9611" t="s">
        <v>226</v>
      </c>
      <c r="C9611" s="2">
        <f>HYPERLINK("https://sao.dolgi.msk.ru/account/1404276294/", 1404276294)</f>
        <v>1404276294</v>
      </c>
      <c r="D9611">
        <v>33980.92</v>
      </c>
    </row>
    <row r="9612" spans="1:4" x14ac:dyDescent="0.25">
      <c r="A9612" t="s">
        <v>694</v>
      </c>
      <c r="B9612" t="s">
        <v>227</v>
      </c>
      <c r="C9612" s="2">
        <f>HYPERLINK("https://sao.dolgi.msk.ru/account/1404277094/", 1404277094)</f>
        <v>1404277094</v>
      </c>
      <c r="D9612">
        <v>8001.11</v>
      </c>
    </row>
    <row r="9613" spans="1:4" hidden="1" x14ac:dyDescent="0.25">
      <c r="A9613" t="s">
        <v>694</v>
      </c>
      <c r="B9613" t="s">
        <v>228</v>
      </c>
      <c r="C9613" s="2">
        <f>HYPERLINK("https://sao.dolgi.msk.ru/account/1404274715/", 1404274715)</f>
        <v>1404274715</v>
      </c>
      <c r="D9613">
        <v>0</v>
      </c>
    </row>
    <row r="9614" spans="1:4" x14ac:dyDescent="0.25">
      <c r="A9614" t="s">
        <v>694</v>
      </c>
      <c r="B9614" t="s">
        <v>229</v>
      </c>
      <c r="C9614" s="2">
        <f>HYPERLINK("https://sao.dolgi.msk.ru/account/1404275179/", 1404275179)</f>
        <v>1404275179</v>
      </c>
      <c r="D9614">
        <v>12148.71</v>
      </c>
    </row>
    <row r="9615" spans="1:4" hidden="1" x14ac:dyDescent="0.25">
      <c r="A9615" t="s">
        <v>694</v>
      </c>
      <c r="B9615" t="s">
        <v>230</v>
      </c>
      <c r="C9615" s="2">
        <f>HYPERLINK("https://sao.dolgi.msk.ru/account/1404275187/", 1404275187)</f>
        <v>1404275187</v>
      </c>
      <c r="D9615">
        <v>0</v>
      </c>
    </row>
    <row r="9616" spans="1:4" hidden="1" x14ac:dyDescent="0.25">
      <c r="A9616" t="s">
        <v>694</v>
      </c>
      <c r="B9616" t="s">
        <v>231</v>
      </c>
      <c r="C9616" s="2">
        <f>HYPERLINK("https://sao.dolgi.msk.ru/account/1404274483/", 1404274483)</f>
        <v>1404274483</v>
      </c>
      <c r="D9616">
        <v>0</v>
      </c>
    </row>
    <row r="9617" spans="1:4" hidden="1" x14ac:dyDescent="0.25">
      <c r="A9617" t="s">
        <v>694</v>
      </c>
      <c r="B9617" t="s">
        <v>232</v>
      </c>
      <c r="C9617" s="2">
        <f>HYPERLINK("https://sao.dolgi.msk.ru/account/1404275945/", 1404275945)</f>
        <v>1404275945</v>
      </c>
      <c r="D9617">
        <v>-12615.97</v>
      </c>
    </row>
    <row r="9618" spans="1:4" hidden="1" x14ac:dyDescent="0.25">
      <c r="A9618" t="s">
        <v>694</v>
      </c>
      <c r="B9618" t="s">
        <v>233</v>
      </c>
      <c r="C9618" s="2">
        <f>HYPERLINK("https://sao.dolgi.msk.ru/account/1404275953/", 1404275953)</f>
        <v>1404275953</v>
      </c>
      <c r="D9618">
        <v>-4918.34</v>
      </c>
    </row>
    <row r="9619" spans="1:4" hidden="1" x14ac:dyDescent="0.25">
      <c r="A9619" t="s">
        <v>694</v>
      </c>
      <c r="B9619" t="s">
        <v>234</v>
      </c>
      <c r="C9619" s="2">
        <f>HYPERLINK("https://sao.dolgi.msk.ru/account/1404275195/", 1404275195)</f>
        <v>1404275195</v>
      </c>
      <c r="D9619">
        <v>-4326.3100000000004</v>
      </c>
    </row>
    <row r="9620" spans="1:4" hidden="1" x14ac:dyDescent="0.25">
      <c r="A9620" t="s">
        <v>694</v>
      </c>
      <c r="B9620" t="s">
        <v>235</v>
      </c>
      <c r="C9620" s="2">
        <f>HYPERLINK("https://sao.dolgi.msk.ru/account/1404278388/", 1404278388)</f>
        <v>1404278388</v>
      </c>
      <c r="D9620">
        <v>-7405.13</v>
      </c>
    </row>
    <row r="9621" spans="1:4" hidden="1" x14ac:dyDescent="0.25">
      <c r="A9621" t="s">
        <v>694</v>
      </c>
      <c r="B9621" t="s">
        <v>239</v>
      </c>
      <c r="C9621" s="2">
        <f>HYPERLINK("https://sao.dolgi.msk.ru/account/1404273739/", 1404273739)</f>
        <v>1404273739</v>
      </c>
      <c r="D9621">
        <v>-8205.4</v>
      </c>
    </row>
    <row r="9622" spans="1:4" hidden="1" x14ac:dyDescent="0.25">
      <c r="A9622" t="s">
        <v>694</v>
      </c>
      <c r="B9622" t="s">
        <v>240</v>
      </c>
      <c r="C9622" s="2">
        <f>HYPERLINK("https://sao.dolgi.msk.ru/account/1404278396/", 1404278396)</f>
        <v>1404278396</v>
      </c>
      <c r="D9622">
        <v>0</v>
      </c>
    </row>
    <row r="9623" spans="1:4" x14ac:dyDescent="0.25">
      <c r="A9623" t="s">
        <v>694</v>
      </c>
      <c r="B9623" t="s">
        <v>241</v>
      </c>
      <c r="C9623" s="2">
        <f>HYPERLINK("https://sao.dolgi.msk.ru/account/1404275961/", 1404275961)</f>
        <v>1404275961</v>
      </c>
      <c r="D9623">
        <v>15891.09</v>
      </c>
    </row>
    <row r="9624" spans="1:4" hidden="1" x14ac:dyDescent="0.25">
      <c r="A9624" t="s">
        <v>694</v>
      </c>
      <c r="B9624" t="s">
        <v>242</v>
      </c>
      <c r="C9624" s="2">
        <f>HYPERLINK("https://sao.dolgi.msk.ru/account/1404279081/", 1404279081)</f>
        <v>1404279081</v>
      </c>
      <c r="D9624">
        <v>-8359.2000000000007</v>
      </c>
    </row>
    <row r="9625" spans="1:4" hidden="1" x14ac:dyDescent="0.25">
      <c r="A9625" t="s">
        <v>694</v>
      </c>
      <c r="B9625" t="s">
        <v>243</v>
      </c>
      <c r="C9625" s="2">
        <f>HYPERLINK("https://sao.dolgi.msk.ru/account/1404279102/", 1404279102)</f>
        <v>1404279102</v>
      </c>
      <c r="D9625">
        <v>-8590.6200000000008</v>
      </c>
    </row>
    <row r="9626" spans="1:4" hidden="1" x14ac:dyDescent="0.25">
      <c r="A9626" t="s">
        <v>694</v>
      </c>
      <c r="B9626" t="s">
        <v>244</v>
      </c>
      <c r="C9626" s="2">
        <f>HYPERLINK("https://sao.dolgi.msk.ru/account/1404279129/", 1404279129)</f>
        <v>1404279129</v>
      </c>
      <c r="D9626">
        <v>-6710.93</v>
      </c>
    </row>
    <row r="9627" spans="1:4" hidden="1" x14ac:dyDescent="0.25">
      <c r="A9627" t="s">
        <v>694</v>
      </c>
      <c r="B9627" t="s">
        <v>245</v>
      </c>
      <c r="C9627" s="2">
        <f>HYPERLINK("https://sao.dolgi.msk.ru/account/1404278409/", 1404278409)</f>
        <v>1404278409</v>
      </c>
      <c r="D9627">
        <v>-5343.18</v>
      </c>
    </row>
    <row r="9628" spans="1:4" x14ac:dyDescent="0.25">
      <c r="A9628" t="s">
        <v>694</v>
      </c>
      <c r="B9628" t="s">
        <v>246</v>
      </c>
      <c r="C9628" s="2">
        <f>HYPERLINK("https://sao.dolgi.msk.ru/account/1404273747/", 1404273747)</f>
        <v>1404273747</v>
      </c>
      <c r="D9628">
        <v>40854.93</v>
      </c>
    </row>
    <row r="9629" spans="1:4" hidden="1" x14ac:dyDescent="0.25">
      <c r="A9629" t="s">
        <v>694</v>
      </c>
      <c r="B9629" t="s">
        <v>247</v>
      </c>
      <c r="C9629" s="2">
        <f>HYPERLINK("https://sao.dolgi.msk.ru/account/1404278417/", 1404278417)</f>
        <v>1404278417</v>
      </c>
      <c r="D9629">
        <v>0</v>
      </c>
    </row>
    <row r="9630" spans="1:4" hidden="1" x14ac:dyDescent="0.25">
      <c r="A9630" t="s">
        <v>694</v>
      </c>
      <c r="B9630" t="s">
        <v>247</v>
      </c>
      <c r="C9630" s="2">
        <f>HYPERLINK("https://sao.dolgi.msk.ru/account/1404294206/", 1404294206)</f>
        <v>1404294206</v>
      </c>
      <c r="D9630">
        <v>0</v>
      </c>
    </row>
    <row r="9631" spans="1:4" x14ac:dyDescent="0.25">
      <c r="A9631" t="s">
        <v>694</v>
      </c>
      <c r="B9631" t="s">
        <v>248</v>
      </c>
      <c r="C9631" s="2">
        <f>HYPERLINK("https://sao.dolgi.msk.ru/account/1404277609/", 1404277609)</f>
        <v>1404277609</v>
      </c>
      <c r="D9631">
        <v>16786.82</v>
      </c>
    </row>
    <row r="9632" spans="1:4" hidden="1" x14ac:dyDescent="0.25">
      <c r="A9632" t="s">
        <v>694</v>
      </c>
      <c r="B9632" t="s">
        <v>249</v>
      </c>
      <c r="C9632" s="2">
        <f>HYPERLINK("https://sao.dolgi.msk.ru/account/1404276796/", 1404276796)</f>
        <v>1404276796</v>
      </c>
      <c r="D9632">
        <v>-5693.4</v>
      </c>
    </row>
    <row r="9633" spans="1:4" hidden="1" x14ac:dyDescent="0.25">
      <c r="A9633" t="s">
        <v>694</v>
      </c>
      <c r="B9633" t="s">
        <v>250</v>
      </c>
      <c r="C9633" s="2">
        <f>HYPERLINK("https://sao.dolgi.msk.ru/account/1404273763/", 1404273763)</f>
        <v>1404273763</v>
      </c>
      <c r="D9633">
        <v>-5571.52</v>
      </c>
    </row>
    <row r="9634" spans="1:4" hidden="1" x14ac:dyDescent="0.25">
      <c r="A9634" t="s">
        <v>694</v>
      </c>
      <c r="B9634" t="s">
        <v>251</v>
      </c>
      <c r="C9634" s="2">
        <f>HYPERLINK("https://sao.dolgi.msk.ru/account/1404275208/", 1404275208)</f>
        <v>1404275208</v>
      </c>
      <c r="D9634">
        <v>0</v>
      </c>
    </row>
    <row r="9635" spans="1:4" x14ac:dyDescent="0.25">
      <c r="A9635" t="s">
        <v>694</v>
      </c>
      <c r="B9635" t="s">
        <v>252</v>
      </c>
      <c r="C9635" s="2">
        <f>HYPERLINK("https://sao.dolgi.msk.ru/account/1404273771/", 1404273771)</f>
        <v>1404273771</v>
      </c>
      <c r="D9635">
        <v>2445.69</v>
      </c>
    </row>
    <row r="9636" spans="1:4" x14ac:dyDescent="0.25">
      <c r="A9636" t="s">
        <v>694</v>
      </c>
      <c r="B9636" t="s">
        <v>253</v>
      </c>
      <c r="C9636" s="2">
        <f>HYPERLINK("https://sao.dolgi.msk.ru/account/1404279137/", 1404279137)</f>
        <v>1404279137</v>
      </c>
      <c r="D9636">
        <v>26789.79</v>
      </c>
    </row>
    <row r="9637" spans="1:4" hidden="1" x14ac:dyDescent="0.25">
      <c r="A9637" t="s">
        <v>694</v>
      </c>
      <c r="B9637" t="s">
        <v>254</v>
      </c>
      <c r="C9637" s="2">
        <f>HYPERLINK("https://sao.dolgi.msk.ru/account/1404273798/", 1404273798)</f>
        <v>1404273798</v>
      </c>
      <c r="D9637">
        <v>0</v>
      </c>
    </row>
    <row r="9638" spans="1:4" hidden="1" x14ac:dyDescent="0.25">
      <c r="A9638" t="s">
        <v>694</v>
      </c>
      <c r="B9638" t="s">
        <v>255</v>
      </c>
      <c r="C9638" s="2">
        <f>HYPERLINK("https://sao.dolgi.msk.ru/account/1404275988/", 1404275988)</f>
        <v>1404275988</v>
      </c>
      <c r="D9638">
        <v>-5064.76</v>
      </c>
    </row>
    <row r="9639" spans="1:4" x14ac:dyDescent="0.25">
      <c r="A9639" t="s">
        <v>694</v>
      </c>
      <c r="B9639" t="s">
        <v>256</v>
      </c>
      <c r="C9639" s="2">
        <f>HYPERLINK("https://sao.dolgi.msk.ru/account/1404275996/", 1404275996)</f>
        <v>1404275996</v>
      </c>
      <c r="D9639">
        <v>8936.07</v>
      </c>
    </row>
    <row r="9640" spans="1:4" hidden="1" x14ac:dyDescent="0.25">
      <c r="A9640" t="s">
        <v>694</v>
      </c>
      <c r="B9640" t="s">
        <v>257</v>
      </c>
      <c r="C9640" s="2">
        <f>HYPERLINK("https://sao.dolgi.msk.ru/account/1404276032/", 1404276032)</f>
        <v>1404276032</v>
      </c>
      <c r="D9640">
        <v>-7825.32</v>
      </c>
    </row>
    <row r="9641" spans="1:4" x14ac:dyDescent="0.25">
      <c r="A9641" t="s">
        <v>694</v>
      </c>
      <c r="B9641" t="s">
        <v>258</v>
      </c>
      <c r="C9641" s="2">
        <f>HYPERLINK("https://sao.dolgi.msk.ru/account/1404274512/", 1404274512)</f>
        <v>1404274512</v>
      </c>
      <c r="D9641">
        <v>4407.76</v>
      </c>
    </row>
    <row r="9642" spans="1:4" x14ac:dyDescent="0.25">
      <c r="A9642" t="s">
        <v>694</v>
      </c>
      <c r="B9642" t="s">
        <v>259</v>
      </c>
      <c r="C9642" s="2">
        <f>HYPERLINK("https://sao.dolgi.msk.ru/account/1404279153/", 1404279153)</f>
        <v>1404279153</v>
      </c>
      <c r="D9642">
        <v>12880.5</v>
      </c>
    </row>
    <row r="9643" spans="1:4" hidden="1" x14ac:dyDescent="0.25">
      <c r="A9643" t="s">
        <v>694</v>
      </c>
      <c r="B9643" t="s">
        <v>260</v>
      </c>
      <c r="C9643" s="2">
        <f>HYPERLINK("https://sao.dolgi.msk.ru/account/1404275259/", 1404275259)</f>
        <v>1404275259</v>
      </c>
      <c r="D9643">
        <v>-3914.55</v>
      </c>
    </row>
    <row r="9644" spans="1:4" hidden="1" x14ac:dyDescent="0.25">
      <c r="A9644" t="s">
        <v>694</v>
      </c>
      <c r="B9644" t="s">
        <v>261</v>
      </c>
      <c r="C9644" s="2">
        <f>HYPERLINK("https://sao.dolgi.msk.ru/account/1404273843/", 1404273843)</f>
        <v>1404273843</v>
      </c>
      <c r="D9644">
        <v>0</v>
      </c>
    </row>
    <row r="9645" spans="1:4" hidden="1" x14ac:dyDescent="0.25">
      <c r="A9645" t="s">
        <v>694</v>
      </c>
      <c r="B9645" t="s">
        <v>262</v>
      </c>
      <c r="C9645" s="2">
        <f>HYPERLINK("https://sao.dolgi.msk.ru/account/1404276059/", 1404276059)</f>
        <v>1404276059</v>
      </c>
      <c r="D9645">
        <v>-6112.17</v>
      </c>
    </row>
    <row r="9646" spans="1:4" hidden="1" x14ac:dyDescent="0.25">
      <c r="A9646" t="s">
        <v>694</v>
      </c>
      <c r="B9646" t="s">
        <v>263</v>
      </c>
      <c r="C9646" s="2">
        <f>HYPERLINK("https://sao.dolgi.msk.ru/account/1404273851/", 1404273851)</f>
        <v>1404273851</v>
      </c>
      <c r="D9646">
        <v>-6924.8</v>
      </c>
    </row>
    <row r="9647" spans="1:4" x14ac:dyDescent="0.25">
      <c r="A9647" t="s">
        <v>694</v>
      </c>
      <c r="B9647" t="s">
        <v>264</v>
      </c>
      <c r="C9647" s="2">
        <f>HYPERLINK("https://sao.dolgi.msk.ru/account/1404274918/", 1404274918)</f>
        <v>1404274918</v>
      </c>
      <c r="D9647">
        <v>13838.04</v>
      </c>
    </row>
    <row r="9648" spans="1:4" hidden="1" x14ac:dyDescent="0.25">
      <c r="A9648" t="s">
        <v>694</v>
      </c>
      <c r="B9648" t="s">
        <v>265</v>
      </c>
      <c r="C9648" s="2">
        <f>HYPERLINK("https://sao.dolgi.msk.ru/account/1404277318/", 1404277318)</f>
        <v>1404277318</v>
      </c>
      <c r="D9648">
        <v>-5875.42</v>
      </c>
    </row>
    <row r="9649" spans="1:4" hidden="1" x14ac:dyDescent="0.25">
      <c r="A9649" t="s">
        <v>694</v>
      </c>
      <c r="B9649" t="s">
        <v>266</v>
      </c>
      <c r="C9649" s="2">
        <f>HYPERLINK("https://sao.dolgi.msk.ru/account/1404274336/", 1404274336)</f>
        <v>1404274336</v>
      </c>
      <c r="D9649">
        <v>-6022.41</v>
      </c>
    </row>
    <row r="9650" spans="1:4" hidden="1" x14ac:dyDescent="0.25">
      <c r="A9650" t="s">
        <v>694</v>
      </c>
      <c r="B9650" t="s">
        <v>267</v>
      </c>
      <c r="C9650" s="2">
        <f>HYPERLINK("https://sao.dolgi.msk.ru/account/1404278783/", 1404278783)</f>
        <v>1404278783</v>
      </c>
      <c r="D9650">
        <v>-7292.38</v>
      </c>
    </row>
    <row r="9651" spans="1:4" x14ac:dyDescent="0.25">
      <c r="A9651" t="s">
        <v>694</v>
      </c>
      <c r="B9651" t="s">
        <v>268</v>
      </c>
      <c r="C9651" s="2">
        <f>HYPERLINK("https://sao.dolgi.msk.ru/account/1404278791/", 1404278791)</f>
        <v>1404278791</v>
      </c>
      <c r="D9651">
        <v>55273.22</v>
      </c>
    </row>
    <row r="9652" spans="1:4" hidden="1" x14ac:dyDescent="0.25">
      <c r="A9652" t="s">
        <v>694</v>
      </c>
      <c r="B9652" t="s">
        <v>269</v>
      </c>
      <c r="C9652" s="2">
        <f>HYPERLINK("https://sao.dolgi.msk.ru/account/1404278804/", 1404278804)</f>
        <v>1404278804</v>
      </c>
      <c r="D9652">
        <v>-2716.73</v>
      </c>
    </row>
    <row r="9653" spans="1:4" hidden="1" x14ac:dyDescent="0.25">
      <c r="A9653" t="s">
        <v>694</v>
      </c>
      <c r="B9653" t="s">
        <v>270</v>
      </c>
      <c r="C9653" s="2">
        <f>HYPERLINK("https://sao.dolgi.msk.ru/account/1404277326/", 1404277326)</f>
        <v>1404277326</v>
      </c>
      <c r="D9653">
        <v>-5057.28</v>
      </c>
    </row>
    <row r="9654" spans="1:4" hidden="1" x14ac:dyDescent="0.25">
      <c r="A9654" t="s">
        <v>694</v>
      </c>
      <c r="B9654" t="s">
        <v>271</v>
      </c>
      <c r="C9654" s="2">
        <f>HYPERLINK("https://sao.dolgi.msk.ru/account/1404275689/", 1404275689)</f>
        <v>1404275689</v>
      </c>
      <c r="D9654">
        <v>-4833.55</v>
      </c>
    </row>
    <row r="9655" spans="1:4" x14ac:dyDescent="0.25">
      <c r="A9655" t="s">
        <v>694</v>
      </c>
      <c r="B9655" t="s">
        <v>272</v>
      </c>
      <c r="C9655" s="2">
        <f>HYPERLINK("https://sao.dolgi.msk.ru/account/1404276489/", 1404276489)</f>
        <v>1404276489</v>
      </c>
      <c r="D9655">
        <v>4020.61</v>
      </c>
    </row>
    <row r="9656" spans="1:4" hidden="1" x14ac:dyDescent="0.25">
      <c r="A9656" t="s">
        <v>694</v>
      </c>
      <c r="B9656" t="s">
        <v>273</v>
      </c>
      <c r="C9656" s="2">
        <f>HYPERLINK("https://sao.dolgi.msk.ru/account/1404278118/", 1404278118)</f>
        <v>1404278118</v>
      </c>
      <c r="D9656">
        <v>0</v>
      </c>
    </row>
    <row r="9657" spans="1:4" hidden="1" x14ac:dyDescent="0.25">
      <c r="A9657" t="s">
        <v>694</v>
      </c>
      <c r="B9657" t="s">
        <v>274</v>
      </c>
      <c r="C9657" s="2">
        <f>HYPERLINK("https://sao.dolgi.msk.ru/account/1404276497/", 1404276497)</f>
        <v>1404276497</v>
      </c>
      <c r="D9657">
        <v>0</v>
      </c>
    </row>
    <row r="9658" spans="1:4" hidden="1" x14ac:dyDescent="0.25">
      <c r="A9658" t="s">
        <v>694</v>
      </c>
      <c r="B9658" t="s">
        <v>275</v>
      </c>
      <c r="C9658" s="2">
        <f>HYPERLINK("https://sao.dolgi.msk.ru/account/1404278126/", 1404278126)</f>
        <v>1404278126</v>
      </c>
      <c r="D9658">
        <v>0</v>
      </c>
    </row>
    <row r="9659" spans="1:4" x14ac:dyDescent="0.25">
      <c r="A9659" t="s">
        <v>694</v>
      </c>
      <c r="B9659" t="s">
        <v>276</v>
      </c>
      <c r="C9659" s="2">
        <f>HYPERLINK("https://sao.dolgi.msk.ru/account/1404277334/", 1404277334)</f>
        <v>1404277334</v>
      </c>
      <c r="D9659">
        <v>72592.820000000007</v>
      </c>
    </row>
    <row r="9660" spans="1:4" x14ac:dyDescent="0.25">
      <c r="A9660" t="s">
        <v>694</v>
      </c>
      <c r="B9660" t="s">
        <v>277</v>
      </c>
      <c r="C9660" s="2">
        <f>HYPERLINK("https://sao.dolgi.msk.ru/account/1404278134/", 1404278134)</f>
        <v>1404278134</v>
      </c>
      <c r="D9660">
        <v>8606.9</v>
      </c>
    </row>
    <row r="9661" spans="1:4" hidden="1" x14ac:dyDescent="0.25">
      <c r="A9661" t="s">
        <v>694</v>
      </c>
      <c r="B9661" t="s">
        <v>278</v>
      </c>
      <c r="C9661" s="2">
        <f>HYPERLINK("https://sao.dolgi.msk.ru/account/1404278142/", 1404278142)</f>
        <v>1404278142</v>
      </c>
      <c r="D9661">
        <v>-6779.79</v>
      </c>
    </row>
    <row r="9662" spans="1:4" x14ac:dyDescent="0.25">
      <c r="A9662" t="s">
        <v>694</v>
      </c>
      <c r="B9662" t="s">
        <v>279</v>
      </c>
      <c r="C9662" s="2">
        <f>HYPERLINK("https://sao.dolgi.msk.ru/account/1404276518/", 1404276518)</f>
        <v>1404276518</v>
      </c>
      <c r="D9662">
        <v>3881.21</v>
      </c>
    </row>
    <row r="9663" spans="1:4" hidden="1" x14ac:dyDescent="0.25">
      <c r="A9663" t="s">
        <v>694</v>
      </c>
      <c r="B9663" t="s">
        <v>280</v>
      </c>
      <c r="C9663" s="2">
        <f>HYPERLINK("https://sao.dolgi.msk.ru/account/1404278169/", 1404278169)</f>
        <v>1404278169</v>
      </c>
      <c r="D9663">
        <v>-2204.19</v>
      </c>
    </row>
    <row r="9664" spans="1:4" hidden="1" x14ac:dyDescent="0.25">
      <c r="A9664" t="s">
        <v>694</v>
      </c>
      <c r="B9664" t="s">
        <v>281</v>
      </c>
      <c r="C9664" s="2">
        <f>HYPERLINK("https://sao.dolgi.msk.ru/account/1404278089/", 1404278089)</f>
        <v>1404278089</v>
      </c>
      <c r="D9664">
        <v>0</v>
      </c>
    </row>
    <row r="9665" spans="1:4" hidden="1" x14ac:dyDescent="0.25">
      <c r="A9665" t="s">
        <v>694</v>
      </c>
      <c r="B9665" t="s">
        <v>282</v>
      </c>
      <c r="C9665" s="2">
        <f>HYPERLINK("https://sao.dolgi.msk.ru/account/1404277342/", 1404277342)</f>
        <v>1404277342</v>
      </c>
      <c r="D9665">
        <v>0</v>
      </c>
    </row>
    <row r="9666" spans="1:4" hidden="1" x14ac:dyDescent="0.25">
      <c r="A9666" t="s">
        <v>694</v>
      </c>
      <c r="B9666" t="s">
        <v>283</v>
      </c>
      <c r="C9666" s="2">
        <f>HYPERLINK("https://sao.dolgi.msk.ru/account/1404278177/", 1404278177)</f>
        <v>1404278177</v>
      </c>
      <c r="D9666">
        <v>0</v>
      </c>
    </row>
    <row r="9667" spans="1:4" hidden="1" x14ac:dyDescent="0.25">
      <c r="A9667" t="s">
        <v>694</v>
      </c>
      <c r="B9667" t="s">
        <v>284</v>
      </c>
      <c r="C9667" s="2">
        <f>HYPERLINK("https://sao.dolgi.msk.ru/account/1404276139/", 1404276139)</f>
        <v>1404276139</v>
      </c>
      <c r="D9667">
        <v>-3224.24</v>
      </c>
    </row>
    <row r="9668" spans="1:4" x14ac:dyDescent="0.25">
      <c r="A9668" t="s">
        <v>694</v>
      </c>
      <c r="B9668" t="s">
        <v>285</v>
      </c>
      <c r="C9668" s="2">
        <f>HYPERLINK("https://sao.dolgi.msk.ru/account/1404278185/", 1404278185)</f>
        <v>1404278185</v>
      </c>
      <c r="D9668">
        <v>22855.53</v>
      </c>
    </row>
    <row r="9669" spans="1:4" x14ac:dyDescent="0.25">
      <c r="A9669" t="s">
        <v>694</v>
      </c>
      <c r="B9669" t="s">
        <v>286</v>
      </c>
      <c r="C9669" s="2">
        <f>HYPERLINK("https://sao.dolgi.msk.ru/account/1404276147/", 1404276147)</f>
        <v>1404276147</v>
      </c>
      <c r="D9669">
        <v>208.59</v>
      </c>
    </row>
    <row r="9670" spans="1:4" hidden="1" x14ac:dyDescent="0.25">
      <c r="A9670" t="s">
        <v>694</v>
      </c>
      <c r="B9670" t="s">
        <v>287</v>
      </c>
      <c r="C9670" s="2">
        <f>HYPERLINK("https://sao.dolgi.msk.ru/account/1404274037/", 1404274037)</f>
        <v>1404274037</v>
      </c>
      <c r="D9670">
        <v>0</v>
      </c>
    </row>
    <row r="9671" spans="1:4" hidden="1" x14ac:dyDescent="0.25">
      <c r="A9671" t="s">
        <v>694</v>
      </c>
      <c r="B9671" t="s">
        <v>288</v>
      </c>
      <c r="C9671" s="2">
        <f>HYPERLINK("https://sao.dolgi.msk.ru/account/1404279292/", 1404279292)</f>
        <v>1404279292</v>
      </c>
      <c r="D9671">
        <v>0</v>
      </c>
    </row>
    <row r="9672" spans="1:4" hidden="1" x14ac:dyDescent="0.25">
      <c r="A9672" t="s">
        <v>694</v>
      </c>
      <c r="B9672" t="s">
        <v>289</v>
      </c>
      <c r="C9672" s="2">
        <f>HYPERLINK("https://sao.dolgi.msk.ru/account/1404276892/", 1404276892)</f>
        <v>1404276892</v>
      </c>
      <c r="D9672">
        <v>-4273.13</v>
      </c>
    </row>
    <row r="9673" spans="1:4" hidden="1" x14ac:dyDescent="0.25">
      <c r="A9673" t="s">
        <v>694</v>
      </c>
      <c r="B9673" t="s">
        <v>290</v>
      </c>
      <c r="C9673" s="2">
        <f>HYPERLINK("https://sao.dolgi.msk.ru/account/1404277756/", 1404277756)</f>
        <v>1404277756</v>
      </c>
      <c r="D9673">
        <v>-6445.08</v>
      </c>
    </row>
    <row r="9674" spans="1:4" hidden="1" x14ac:dyDescent="0.25">
      <c r="A9674" t="s">
        <v>694</v>
      </c>
      <c r="B9674" t="s">
        <v>291</v>
      </c>
      <c r="C9674" s="2">
        <f>HYPERLINK("https://sao.dolgi.msk.ru/account/1404277705/", 1404277705)</f>
        <v>1404277705</v>
      </c>
      <c r="D9674">
        <v>0</v>
      </c>
    </row>
    <row r="9675" spans="1:4" hidden="1" x14ac:dyDescent="0.25">
      <c r="A9675" t="s">
        <v>694</v>
      </c>
      <c r="B9675" t="s">
        <v>291</v>
      </c>
      <c r="C9675" s="2">
        <f>HYPERLINK("https://sao.dolgi.msk.ru/account/1404277764/", 1404277764)</f>
        <v>1404277764</v>
      </c>
      <c r="D9675">
        <v>0</v>
      </c>
    </row>
    <row r="9676" spans="1:4" hidden="1" x14ac:dyDescent="0.25">
      <c r="A9676" t="s">
        <v>694</v>
      </c>
      <c r="B9676" t="s">
        <v>292</v>
      </c>
      <c r="C9676" s="2">
        <f>HYPERLINK("https://sao.dolgi.msk.ru/account/1404278476/", 1404278476)</f>
        <v>1404278476</v>
      </c>
      <c r="D9676">
        <v>-2246.6799999999998</v>
      </c>
    </row>
    <row r="9677" spans="1:4" hidden="1" x14ac:dyDescent="0.25">
      <c r="A9677" t="s">
        <v>694</v>
      </c>
      <c r="B9677" t="s">
        <v>293</v>
      </c>
      <c r="C9677" s="2">
        <f>HYPERLINK("https://sao.dolgi.msk.ru/account/1404274598/", 1404274598)</f>
        <v>1404274598</v>
      </c>
      <c r="D9677">
        <v>-6169.44</v>
      </c>
    </row>
    <row r="9678" spans="1:4" x14ac:dyDescent="0.25">
      <c r="A9678" t="s">
        <v>694</v>
      </c>
      <c r="B9678" t="s">
        <v>294</v>
      </c>
      <c r="C9678" s="2">
        <f>HYPERLINK("https://sao.dolgi.msk.ru/account/1404277772/", 1404277772)</f>
        <v>1404277772</v>
      </c>
      <c r="D9678">
        <v>1013.39</v>
      </c>
    </row>
    <row r="9679" spans="1:4" x14ac:dyDescent="0.25">
      <c r="A9679" t="s">
        <v>694</v>
      </c>
      <c r="B9679" t="s">
        <v>295</v>
      </c>
      <c r="C9679" s="2">
        <f>HYPERLINK("https://sao.dolgi.msk.ru/account/1404275574/", 1404275574)</f>
        <v>1404275574</v>
      </c>
      <c r="D9679">
        <v>9617.93</v>
      </c>
    </row>
    <row r="9680" spans="1:4" hidden="1" x14ac:dyDescent="0.25">
      <c r="A9680" t="s">
        <v>694</v>
      </c>
      <c r="B9680" t="s">
        <v>695</v>
      </c>
      <c r="C9680" s="2">
        <f>HYPERLINK("https://sao.dolgi.msk.ru/account/1404277633/", 1404277633)</f>
        <v>1404277633</v>
      </c>
      <c r="D9680">
        <v>-5361.54</v>
      </c>
    </row>
    <row r="9681" spans="1:4" hidden="1" x14ac:dyDescent="0.25">
      <c r="A9681" t="s">
        <v>694</v>
      </c>
      <c r="B9681" t="s">
        <v>296</v>
      </c>
      <c r="C9681" s="2">
        <f>HYPERLINK("https://sao.dolgi.msk.ru/account/1404273392/", 1404273392)</f>
        <v>1404273392</v>
      </c>
      <c r="D9681">
        <v>-5370.91</v>
      </c>
    </row>
    <row r="9682" spans="1:4" hidden="1" x14ac:dyDescent="0.25">
      <c r="A9682" t="s">
        <v>694</v>
      </c>
      <c r="B9682" t="s">
        <v>297</v>
      </c>
      <c r="C9682" s="2">
        <f>HYPERLINK("https://sao.dolgi.msk.ru/account/1404274256/", 1404274256)</f>
        <v>1404274256</v>
      </c>
      <c r="D9682">
        <v>0</v>
      </c>
    </row>
    <row r="9683" spans="1:4" hidden="1" x14ac:dyDescent="0.25">
      <c r="A9683" t="s">
        <v>694</v>
      </c>
      <c r="B9683" t="s">
        <v>298</v>
      </c>
      <c r="C9683" s="2">
        <f>HYPERLINK("https://sao.dolgi.msk.ru/account/1404278724/", 1404278724)</f>
        <v>1404278724</v>
      </c>
      <c r="D9683">
        <v>-8794.92</v>
      </c>
    </row>
    <row r="9684" spans="1:4" hidden="1" x14ac:dyDescent="0.25">
      <c r="A9684" t="s">
        <v>694</v>
      </c>
      <c r="B9684" t="s">
        <v>299</v>
      </c>
      <c r="C9684" s="2">
        <f>HYPERLINK("https://sao.dolgi.msk.ru/account/1404273288/", 1404273288)</f>
        <v>1404273288</v>
      </c>
      <c r="D9684">
        <v>0</v>
      </c>
    </row>
    <row r="9685" spans="1:4" hidden="1" x14ac:dyDescent="0.25">
      <c r="A9685" t="s">
        <v>694</v>
      </c>
      <c r="B9685" t="s">
        <v>300</v>
      </c>
      <c r="C9685" s="2">
        <f>HYPERLINK("https://sao.dolgi.msk.ru/account/1404276382/", 1404276382)</f>
        <v>1404276382</v>
      </c>
      <c r="D9685">
        <v>-6128.87</v>
      </c>
    </row>
    <row r="9686" spans="1:4" x14ac:dyDescent="0.25">
      <c r="A9686" t="s">
        <v>694</v>
      </c>
      <c r="B9686" t="s">
        <v>301</v>
      </c>
      <c r="C9686" s="2">
        <f>HYPERLINK("https://sao.dolgi.msk.ru/account/1404275582/", 1404275582)</f>
        <v>1404275582</v>
      </c>
      <c r="D9686">
        <v>3529.79</v>
      </c>
    </row>
    <row r="9687" spans="1:4" x14ac:dyDescent="0.25">
      <c r="A9687" t="s">
        <v>694</v>
      </c>
      <c r="B9687" t="s">
        <v>302</v>
      </c>
      <c r="C9687" s="2">
        <f>HYPERLINK("https://sao.dolgi.msk.ru/account/1404273405/", 1404273405)</f>
        <v>1404273405</v>
      </c>
      <c r="D9687">
        <v>3246.61</v>
      </c>
    </row>
    <row r="9688" spans="1:4" hidden="1" x14ac:dyDescent="0.25">
      <c r="A9688" t="s">
        <v>694</v>
      </c>
      <c r="B9688" t="s">
        <v>303</v>
      </c>
      <c r="C9688" s="2">
        <f>HYPERLINK("https://sao.dolgi.msk.ru/account/1404275339/", 1404275339)</f>
        <v>1404275339</v>
      </c>
      <c r="D9688">
        <v>0</v>
      </c>
    </row>
    <row r="9689" spans="1:4" hidden="1" x14ac:dyDescent="0.25">
      <c r="A9689" t="s">
        <v>694</v>
      </c>
      <c r="B9689" t="s">
        <v>304</v>
      </c>
      <c r="C9689" s="2">
        <f>HYPERLINK("https://sao.dolgi.msk.ru/account/1404276091/", 1404276091)</f>
        <v>1404276091</v>
      </c>
      <c r="D9689">
        <v>-3428.38</v>
      </c>
    </row>
    <row r="9690" spans="1:4" hidden="1" x14ac:dyDescent="0.25">
      <c r="A9690" t="s">
        <v>694</v>
      </c>
      <c r="B9690" t="s">
        <v>305</v>
      </c>
      <c r="C9690" s="2">
        <f>HYPERLINK("https://sao.dolgi.msk.ru/account/1404273966/", 1404273966)</f>
        <v>1404273966</v>
      </c>
      <c r="D9690">
        <v>0</v>
      </c>
    </row>
    <row r="9691" spans="1:4" hidden="1" x14ac:dyDescent="0.25">
      <c r="A9691" t="s">
        <v>694</v>
      </c>
      <c r="B9691" t="s">
        <v>306</v>
      </c>
      <c r="C9691" s="2">
        <f>HYPERLINK("https://sao.dolgi.msk.ru/account/1404279241/", 1404279241)</f>
        <v>1404279241</v>
      </c>
      <c r="D9691">
        <v>-187.1</v>
      </c>
    </row>
    <row r="9692" spans="1:4" hidden="1" x14ac:dyDescent="0.25">
      <c r="A9692" t="s">
        <v>694</v>
      </c>
      <c r="B9692" t="s">
        <v>307</v>
      </c>
      <c r="C9692" s="2">
        <f>HYPERLINK("https://sao.dolgi.msk.ru/account/1404279276/", 1404279276)</f>
        <v>1404279276</v>
      </c>
      <c r="D9692">
        <v>-4288.04</v>
      </c>
    </row>
    <row r="9693" spans="1:4" x14ac:dyDescent="0.25">
      <c r="A9693" t="s">
        <v>694</v>
      </c>
      <c r="B9693" t="s">
        <v>308</v>
      </c>
      <c r="C9693" s="2">
        <f>HYPERLINK("https://sao.dolgi.msk.ru/account/1404276905/", 1404276905)</f>
        <v>1404276905</v>
      </c>
      <c r="D9693">
        <v>6654.15</v>
      </c>
    </row>
    <row r="9694" spans="1:4" hidden="1" x14ac:dyDescent="0.25">
      <c r="A9694" t="s">
        <v>694</v>
      </c>
      <c r="B9694" t="s">
        <v>309</v>
      </c>
      <c r="C9694" s="2">
        <f>HYPERLINK("https://sao.dolgi.msk.ru/account/1404277801/", 1404277801)</f>
        <v>1404277801</v>
      </c>
      <c r="D9694">
        <v>-5965.9</v>
      </c>
    </row>
    <row r="9695" spans="1:4" hidden="1" x14ac:dyDescent="0.25">
      <c r="A9695" t="s">
        <v>694</v>
      </c>
      <c r="B9695" t="s">
        <v>310</v>
      </c>
      <c r="C9695" s="2">
        <f>HYPERLINK("https://sao.dolgi.msk.ru/account/1404276104/", 1404276104)</f>
        <v>1404276104</v>
      </c>
      <c r="D9695">
        <v>0</v>
      </c>
    </row>
    <row r="9696" spans="1:4" hidden="1" x14ac:dyDescent="0.25">
      <c r="A9696" t="s">
        <v>694</v>
      </c>
      <c r="B9696" t="s">
        <v>311</v>
      </c>
      <c r="C9696" s="2">
        <f>HYPERLINK("https://sao.dolgi.msk.ru/account/1404276913/", 1404276913)</f>
        <v>1404276913</v>
      </c>
      <c r="D9696">
        <v>-15095.58</v>
      </c>
    </row>
    <row r="9697" spans="1:4" hidden="1" x14ac:dyDescent="0.25">
      <c r="A9697" t="s">
        <v>694</v>
      </c>
      <c r="B9697" t="s">
        <v>312</v>
      </c>
      <c r="C9697" s="2">
        <f>HYPERLINK("https://sao.dolgi.msk.ru/account/1404276112/", 1404276112)</f>
        <v>1404276112</v>
      </c>
      <c r="D9697">
        <v>-3609.55</v>
      </c>
    </row>
    <row r="9698" spans="1:4" hidden="1" x14ac:dyDescent="0.25">
      <c r="A9698" t="s">
        <v>694</v>
      </c>
      <c r="B9698" t="s">
        <v>313</v>
      </c>
      <c r="C9698" s="2">
        <f>HYPERLINK("https://sao.dolgi.msk.ru/account/1404276921/", 1404276921)</f>
        <v>1404276921</v>
      </c>
      <c r="D9698">
        <v>0</v>
      </c>
    </row>
    <row r="9699" spans="1:4" x14ac:dyDescent="0.25">
      <c r="A9699" t="s">
        <v>694</v>
      </c>
      <c r="B9699" t="s">
        <v>314</v>
      </c>
      <c r="C9699" s="2">
        <f>HYPERLINK("https://sao.dolgi.msk.ru/account/1404276948/", 1404276948)</f>
        <v>1404276948</v>
      </c>
      <c r="D9699">
        <v>8378.3799999999992</v>
      </c>
    </row>
    <row r="9700" spans="1:4" hidden="1" x14ac:dyDescent="0.25">
      <c r="A9700" t="s">
        <v>694</v>
      </c>
      <c r="B9700" t="s">
        <v>315</v>
      </c>
      <c r="C9700" s="2">
        <f>HYPERLINK("https://sao.dolgi.msk.ru/account/1404278492/", 1404278492)</f>
        <v>1404278492</v>
      </c>
      <c r="D9700">
        <v>0</v>
      </c>
    </row>
    <row r="9701" spans="1:4" hidden="1" x14ac:dyDescent="0.25">
      <c r="A9701" t="s">
        <v>694</v>
      </c>
      <c r="B9701" t="s">
        <v>316</v>
      </c>
      <c r="C9701" s="2">
        <f>HYPERLINK("https://sao.dolgi.msk.ru/account/1404273974/", 1404273974)</f>
        <v>1404273974</v>
      </c>
      <c r="D9701">
        <v>0</v>
      </c>
    </row>
    <row r="9702" spans="1:4" hidden="1" x14ac:dyDescent="0.25">
      <c r="A9702" t="s">
        <v>694</v>
      </c>
      <c r="B9702" t="s">
        <v>317</v>
      </c>
      <c r="C9702" s="2">
        <f>HYPERLINK("https://sao.dolgi.msk.ru/account/1404279284/", 1404279284)</f>
        <v>1404279284</v>
      </c>
      <c r="D9702">
        <v>0</v>
      </c>
    </row>
    <row r="9703" spans="1:4" hidden="1" x14ac:dyDescent="0.25">
      <c r="A9703" t="s">
        <v>694</v>
      </c>
      <c r="B9703" t="s">
        <v>318</v>
      </c>
      <c r="C9703" s="2">
        <f>HYPERLINK("https://sao.dolgi.msk.ru/account/1404278505/", 1404278505)</f>
        <v>1404278505</v>
      </c>
      <c r="D9703">
        <v>-12538.35</v>
      </c>
    </row>
    <row r="9704" spans="1:4" x14ac:dyDescent="0.25">
      <c r="A9704" t="s">
        <v>694</v>
      </c>
      <c r="B9704" t="s">
        <v>319</v>
      </c>
      <c r="C9704" s="2">
        <f>HYPERLINK("https://sao.dolgi.msk.ru/account/1404274619/", 1404274619)</f>
        <v>1404274619</v>
      </c>
      <c r="D9704">
        <v>7333.14</v>
      </c>
    </row>
    <row r="9705" spans="1:4" hidden="1" x14ac:dyDescent="0.25">
      <c r="A9705" t="s">
        <v>694</v>
      </c>
      <c r="B9705" t="s">
        <v>422</v>
      </c>
      <c r="C9705" s="2">
        <f>HYPERLINK("https://sao.dolgi.msk.ru/account/1404276956/", 1404276956)</f>
        <v>1404276956</v>
      </c>
      <c r="D9705">
        <v>-6694.06</v>
      </c>
    </row>
    <row r="9706" spans="1:4" hidden="1" x14ac:dyDescent="0.25">
      <c r="A9706" t="s">
        <v>694</v>
      </c>
      <c r="B9706" t="s">
        <v>423</v>
      </c>
      <c r="C9706" s="2">
        <f>HYPERLINK("https://sao.dolgi.msk.ru/account/1404278513/", 1404278513)</f>
        <v>1404278513</v>
      </c>
      <c r="D9706">
        <v>0</v>
      </c>
    </row>
    <row r="9707" spans="1:4" hidden="1" x14ac:dyDescent="0.25">
      <c r="A9707" t="s">
        <v>694</v>
      </c>
      <c r="B9707" t="s">
        <v>424</v>
      </c>
      <c r="C9707" s="2">
        <f>HYPERLINK("https://sao.dolgi.msk.ru/account/1404277828/", 1404277828)</f>
        <v>1404277828</v>
      </c>
      <c r="D9707">
        <v>-5137.57</v>
      </c>
    </row>
    <row r="9708" spans="1:4" x14ac:dyDescent="0.25">
      <c r="A9708" t="s">
        <v>694</v>
      </c>
      <c r="B9708" t="s">
        <v>425</v>
      </c>
      <c r="C9708" s="2">
        <f>HYPERLINK("https://sao.dolgi.msk.ru/account/1404276964/", 1404276964)</f>
        <v>1404276964</v>
      </c>
      <c r="D9708">
        <v>6133.14</v>
      </c>
    </row>
    <row r="9709" spans="1:4" hidden="1" x14ac:dyDescent="0.25">
      <c r="A9709" t="s">
        <v>694</v>
      </c>
      <c r="B9709" t="s">
        <v>426</v>
      </c>
      <c r="C9709" s="2">
        <f>HYPERLINK("https://sao.dolgi.msk.ru/account/1404275347/", 1404275347)</f>
        <v>1404275347</v>
      </c>
      <c r="D9709">
        <v>0</v>
      </c>
    </row>
    <row r="9710" spans="1:4" hidden="1" x14ac:dyDescent="0.25">
      <c r="A9710" t="s">
        <v>694</v>
      </c>
      <c r="B9710" t="s">
        <v>427</v>
      </c>
      <c r="C9710" s="2">
        <f>HYPERLINK("https://sao.dolgi.msk.ru/account/1404276972/", 1404276972)</f>
        <v>1404276972</v>
      </c>
      <c r="D9710">
        <v>-7568.3</v>
      </c>
    </row>
    <row r="9711" spans="1:4" hidden="1" x14ac:dyDescent="0.25">
      <c r="A9711" t="s">
        <v>694</v>
      </c>
      <c r="B9711" t="s">
        <v>428</v>
      </c>
      <c r="C9711" s="2">
        <f>HYPERLINK("https://sao.dolgi.msk.ru/account/1404273341/", 1404273341)</f>
        <v>1404273341</v>
      </c>
      <c r="D9711">
        <v>-6547.23</v>
      </c>
    </row>
    <row r="9712" spans="1:4" hidden="1" x14ac:dyDescent="0.25">
      <c r="A9712" t="s">
        <v>694</v>
      </c>
      <c r="B9712" t="s">
        <v>321</v>
      </c>
      <c r="C9712" s="2">
        <f>HYPERLINK("https://sao.dolgi.msk.ru/account/1404274782/", 1404274782)</f>
        <v>1404274782</v>
      </c>
      <c r="D9712">
        <v>-3530.64</v>
      </c>
    </row>
    <row r="9713" spans="1:4" hidden="1" x14ac:dyDescent="0.25">
      <c r="A9713" t="s">
        <v>694</v>
      </c>
      <c r="B9713" t="s">
        <v>322</v>
      </c>
      <c r="C9713" s="2">
        <f>HYPERLINK("https://sao.dolgi.msk.ru/account/1404274192/", 1404274192)</f>
        <v>1404274192</v>
      </c>
      <c r="D9713">
        <v>0</v>
      </c>
    </row>
    <row r="9714" spans="1:4" hidden="1" x14ac:dyDescent="0.25">
      <c r="A9714" t="s">
        <v>694</v>
      </c>
      <c r="B9714" t="s">
        <v>323</v>
      </c>
      <c r="C9714" s="2">
        <f>HYPERLINK("https://sao.dolgi.msk.ru/account/1404274205/", 1404274205)</f>
        <v>1404274205</v>
      </c>
      <c r="D9714">
        <v>0</v>
      </c>
    </row>
    <row r="9715" spans="1:4" x14ac:dyDescent="0.25">
      <c r="A9715" t="s">
        <v>694</v>
      </c>
      <c r="B9715" t="s">
        <v>324</v>
      </c>
      <c r="C9715" s="2">
        <f>HYPERLINK("https://sao.dolgi.msk.ru/account/1404276331/", 1404276331)</f>
        <v>1404276331</v>
      </c>
      <c r="D9715">
        <v>98123.64</v>
      </c>
    </row>
    <row r="9716" spans="1:4" hidden="1" x14ac:dyDescent="0.25">
      <c r="A9716" t="s">
        <v>694</v>
      </c>
      <c r="B9716" t="s">
        <v>325</v>
      </c>
      <c r="C9716" s="2">
        <f>HYPERLINK("https://sao.dolgi.msk.ru/account/1404275531/", 1404275531)</f>
        <v>1404275531</v>
      </c>
      <c r="D9716">
        <v>-3530.84</v>
      </c>
    </row>
    <row r="9717" spans="1:4" hidden="1" x14ac:dyDescent="0.25">
      <c r="A9717" t="s">
        <v>694</v>
      </c>
      <c r="B9717" t="s">
        <v>326</v>
      </c>
      <c r="C9717" s="2">
        <f>HYPERLINK("https://sao.dolgi.msk.ru/account/1404274803/", 1404274803)</f>
        <v>1404274803</v>
      </c>
      <c r="D9717">
        <v>-11249.61</v>
      </c>
    </row>
    <row r="9718" spans="1:4" hidden="1" x14ac:dyDescent="0.25">
      <c r="A9718" t="s">
        <v>694</v>
      </c>
      <c r="B9718" t="s">
        <v>327</v>
      </c>
      <c r="C9718" s="2">
        <f>HYPERLINK("https://sao.dolgi.msk.ru/account/1404275558/", 1404275558)</f>
        <v>1404275558</v>
      </c>
      <c r="D9718">
        <v>0</v>
      </c>
    </row>
    <row r="9719" spans="1:4" hidden="1" x14ac:dyDescent="0.25">
      <c r="A9719" t="s">
        <v>694</v>
      </c>
      <c r="B9719" t="s">
        <v>328</v>
      </c>
      <c r="C9719" s="2">
        <f>HYPERLINK("https://sao.dolgi.msk.ru/account/1404277166/", 1404277166)</f>
        <v>1404277166</v>
      </c>
      <c r="D9719">
        <v>-7030.3</v>
      </c>
    </row>
    <row r="9720" spans="1:4" hidden="1" x14ac:dyDescent="0.25">
      <c r="A9720" t="s">
        <v>694</v>
      </c>
      <c r="B9720" t="s">
        <v>329</v>
      </c>
      <c r="C9720" s="2">
        <f>HYPERLINK("https://sao.dolgi.msk.ru/account/1404274344/", 1404274344)</f>
        <v>1404274344</v>
      </c>
      <c r="D9720">
        <v>-3159.95</v>
      </c>
    </row>
    <row r="9721" spans="1:4" hidden="1" x14ac:dyDescent="0.25">
      <c r="A9721" t="s">
        <v>694</v>
      </c>
      <c r="B9721" t="s">
        <v>330</v>
      </c>
      <c r="C9721" s="2">
        <f>HYPERLINK("https://sao.dolgi.msk.ru/account/1404276577/", 1404276577)</f>
        <v>1404276577</v>
      </c>
      <c r="D9721">
        <v>0</v>
      </c>
    </row>
    <row r="9722" spans="1:4" hidden="1" x14ac:dyDescent="0.25">
      <c r="A9722" t="s">
        <v>694</v>
      </c>
      <c r="B9722" t="s">
        <v>331</v>
      </c>
      <c r="C9722" s="2">
        <f>HYPERLINK("https://sao.dolgi.msk.ru/account/1404273544/", 1404273544)</f>
        <v>1404273544</v>
      </c>
      <c r="D9722">
        <v>-5295.53</v>
      </c>
    </row>
    <row r="9723" spans="1:4" hidden="1" x14ac:dyDescent="0.25">
      <c r="A9723" t="s">
        <v>694</v>
      </c>
      <c r="B9723" t="s">
        <v>332</v>
      </c>
      <c r="C9723" s="2">
        <f>HYPERLINK("https://sao.dolgi.msk.ru/account/1404274539/", 1404274539)</f>
        <v>1404274539</v>
      </c>
      <c r="D9723">
        <v>-9665.09</v>
      </c>
    </row>
    <row r="9724" spans="1:4" hidden="1" x14ac:dyDescent="0.25">
      <c r="A9724" t="s">
        <v>694</v>
      </c>
      <c r="B9724" t="s">
        <v>333</v>
      </c>
      <c r="C9724" s="2">
        <f>HYPERLINK("https://sao.dolgi.msk.ru/account/1404275267/", 1404275267)</f>
        <v>1404275267</v>
      </c>
      <c r="D9724">
        <v>-3994.67</v>
      </c>
    </row>
    <row r="9725" spans="1:4" x14ac:dyDescent="0.25">
      <c r="A9725" t="s">
        <v>694</v>
      </c>
      <c r="B9725" t="s">
        <v>334</v>
      </c>
      <c r="C9725" s="2">
        <f>HYPERLINK("https://sao.dolgi.msk.ru/account/1404275275/", 1404275275)</f>
        <v>1404275275</v>
      </c>
      <c r="D9725">
        <v>5515.09</v>
      </c>
    </row>
    <row r="9726" spans="1:4" hidden="1" x14ac:dyDescent="0.25">
      <c r="A9726" t="s">
        <v>694</v>
      </c>
      <c r="B9726" t="s">
        <v>335</v>
      </c>
      <c r="C9726" s="2">
        <f>HYPERLINK("https://sao.dolgi.msk.ru/account/1404276067/", 1404276067)</f>
        <v>1404276067</v>
      </c>
      <c r="D9726">
        <v>-4441.63</v>
      </c>
    </row>
    <row r="9727" spans="1:4" hidden="1" x14ac:dyDescent="0.25">
      <c r="A9727" t="s">
        <v>694</v>
      </c>
      <c r="B9727" t="s">
        <v>336</v>
      </c>
      <c r="C9727" s="2">
        <f>HYPERLINK("https://sao.dolgi.msk.ru/account/1404273878/", 1404273878)</f>
        <v>1404273878</v>
      </c>
      <c r="D9727">
        <v>-3876.73</v>
      </c>
    </row>
    <row r="9728" spans="1:4" x14ac:dyDescent="0.25">
      <c r="A9728" t="s">
        <v>694</v>
      </c>
      <c r="B9728" t="s">
        <v>337</v>
      </c>
      <c r="C9728" s="2">
        <f>HYPERLINK("https://sao.dolgi.msk.ru/account/1404274547/", 1404274547)</f>
        <v>1404274547</v>
      </c>
      <c r="D9728">
        <v>3186.96</v>
      </c>
    </row>
    <row r="9729" spans="1:4" x14ac:dyDescent="0.25">
      <c r="A9729" t="s">
        <v>694</v>
      </c>
      <c r="B9729" t="s">
        <v>338</v>
      </c>
      <c r="C9729" s="2">
        <f>HYPERLINK("https://sao.dolgi.msk.ru/account/1404273886/", 1404273886)</f>
        <v>1404273886</v>
      </c>
      <c r="D9729">
        <v>1322.37</v>
      </c>
    </row>
    <row r="9730" spans="1:4" hidden="1" x14ac:dyDescent="0.25">
      <c r="A9730" t="s">
        <v>694</v>
      </c>
      <c r="B9730" t="s">
        <v>339</v>
      </c>
      <c r="C9730" s="2">
        <f>HYPERLINK("https://sao.dolgi.msk.ru/account/1404274555/", 1404274555)</f>
        <v>1404274555</v>
      </c>
      <c r="D9730">
        <v>0</v>
      </c>
    </row>
    <row r="9731" spans="1:4" hidden="1" x14ac:dyDescent="0.25">
      <c r="A9731" t="s">
        <v>694</v>
      </c>
      <c r="B9731" t="s">
        <v>339</v>
      </c>
      <c r="C9731" s="2">
        <f>HYPERLINK("https://sao.dolgi.msk.ru/account/1404276075/", 1404276075)</f>
        <v>1404276075</v>
      </c>
      <c r="D9731">
        <v>-2709.44</v>
      </c>
    </row>
    <row r="9732" spans="1:4" x14ac:dyDescent="0.25">
      <c r="A9732" t="s">
        <v>694</v>
      </c>
      <c r="B9732" t="s">
        <v>339</v>
      </c>
      <c r="C9732" s="2">
        <f>HYPERLINK("https://sao.dolgi.msk.ru/account/1404278441/", 1404278441)</f>
        <v>1404278441</v>
      </c>
      <c r="D9732">
        <v>13901.54</v>
      </c>
    </row>
    <row r="9733" spans="1:4" hidden="1" x14ac:dyDescent="0.25">
      <c r="A9733" t="s">
        <v>694</v>
      </c>
      <c r="B9733" t="s">
        <v>340</v>
      </c>
      <c r="C9733" s="2">
        <f>HYPERLINK("https://sao.dolgi.msk.ru/account/1404274563/", 1404274563)</f>
        <v>1404274563</v>
      </c>
      <c r="D9733">
        <v>-4756.95</v>
      </c>
    </row>
    <row r="9734" spans="1:4" hidden="1" x14ac:dyDescent="0.25">
      <c r="A9734" t="s">
        <v>694</v>
      </c>
      <c r="B9734" t="s">
        <v>341</v>
      </c>
      <c r="C9734" s="2">
        <f>HYPERLINK("https://sao.dolgi.msk.ru/account/1404273894/", 1404273894)</f>
        <v>1404273894</v>
      </c>
      <c r="D9734">
        <v>0</v>
      </c>
    </row>
    <row r="9735" spans="1:4" hidden="1" x14ac:dyDescent="0.25">
      <c r="A9735" t="s">
        <v>694</v>
      </c>
      <c r="B9735" t="s">
        <v>342</v>
      </c>
      <c r="C9735" s="2">
        <f>HYPERLINK("https://sao.dolgi.msk.ru/account/1404273907/", 1404273907)</f>
        <v>1404273907</v>
      </c>
      <c r="D9735">
        <v>0</v>
      </c>
    </row>
    <row r="9736" spans="1:4" hidden="1" x14ac:dyDescent="0.25">
      <c r="A9736" t="s">
        <v>694</v>
      </c>
      <c r="B9736" t="s">
        <v>343</v>
      </c>
      <c r="C9736" s="2">
        <f>HYPERLINK("https://sao.dolgi.msk.ru/account/1404275283/", 1404275283)</f>
        <v>1404275283</v>
      </c>
      <c r="D9736">
        <v>-5813.83</v>
      </c>
    </row>
    <row r="9737" spans="1:4" hidden="1" x14ac:dyDescent="0.25">
      <c r="A9737" t="s">
        <v>694</v>
      </c>
      <c r="B9737" t="s">
        <v>344</v>
      </c>
      <c r="C9737" s="2">
        <f>HYPERLINK("https://sao.dolgi.msk.ru/account/1404276825/", 1404276825)</f>
        <v>1404276825</v>
      </c>
      <c r="D9737">
        <v>0</v>
      </c>
    </row>
    <row r="9738" spans="1:4" hidden="1" x14ac:dyDescent="0.25">
      <c r="A9738" t="s">
        <v>694</v>
      </c>
      <c r="B9738" t="s">
        <v>345</v>
      </c>
      <c r="C9738" s="2">
        <f>HYPERLINK("https://sao.dolgi.msk.ru/account/1404279188/", 1404279188)</f>
        <v>1404279188</v>
      </c>
      <c r="D9738">
        <v>-4890.68</v>
      </c>
    </row>
    <row r="9739" spans="1:4" hidden="1" x14ac:dyDescent="0.25">
      <c r="A9739" t="s">
        <v>694</v>
      </c>
      <c r="B9739" t="s">
        <v>346</v>
      </c>
      <c r="C9739" s="2">
        <f>HYPERLINK("https://sao.dolgi.msk.ru/account/1404274571/", 1404274571)</f>
        <v>1404274571</v>
      </c>
      <c r="D9739">
        <v>-7018.66</v>
      </c>
    </row>
    <row r="9740" spans="1:4" x14ac:dyDescent="0.25">
      <c r="A9740" t="s">
        <v>694</v>
      </c>
      <c r="B9740" t="s">
        <v>347</v>
      </c>
      <c r="C9740" s="2">
        <f>HYPERLINK("https://sao.dolgi.msk.ru/account/1404275291/", 1404275291)</f>
        <v>1404275291</v>
      </c>
      <c r="D9740">
        <v>20150.28</v>
      </c>
    </row>
    <row r="9741" spans="1:4" hidden="1" x14ac:dyDescent="0.25">
      <c r="A9741" t="s">
        <v>694</v>
      </c>
      <c r="B9741" t="s">
        <v>348</v>
      </c>
      <c r="C9741" s="2">
        <f>HYPERLINK("https://sao.dolgi.msk.ru/account/1404278468/", 1404278468)</f>
        <v>1404278468</v>
      </c>
      <c r="D9741">
        <v>-4753.51</v>
      </c>
    </row>
    <row r="9742" spans="1:4" hidden="1" x14ac:dyDescent="0.25">
      <c r="A9742" t="s">
        <v>694</v>
      </c>
      <c r="B9742" t="s">
        <v>349</v>
      </c>
      <c r="C9742" s="2">
        <f>HYPERLINK("https://sao.dolgi.msk.ru/account/1404277641/", 1404277641)</f>
        <v>1404277641</v>
      </c>
      <c r="D9742">
        <v>-7.97</v>
      </c>
    </row>
    <row r="9743" spans="1:4" x14ac:dyDescent="0.25">
      <c r="A9743" t="s">
        <v>694</v>
      </c>
      <c r="B9743" t="s">
        <v>350</v>
      </c>
      <c r="C9743" s="2">
        <f>HYPERLINK("https://sao.dolgi.msk.ru/account/1404279196/", 1404279196)</f>
        <v>1404279196</v>
      </c>
      <c r="D9743">
        <v>3940.73</v>
      </c>
    </row>
    <row r="9744" spans="1:4" hidden="1" x14ac:dyDescent="0.25">
      <c r="A9744" t="s">
        <v>694</v>
      </c>
      <c r="B9744" t="s">
        <v>351</v>
      </c>
      <c r="C9744" s="2">
        <f>HYPERLINK("https://sao.dolgi.msk.ru/account/1404275304/", 1404275304)</f>
        <v>1404275304</v>
      </c>
      <c r="D9744">
        <v>-3644.71</v>
      </c>
    </row>
    <row r="9745" spans="1:4" hidden="1" x14ac:dyDescent="0.25">
      <c r="A9745" t="s">
        <v>694</v>
      </c>
      <c r="B9745" t="s">
        <v>352</v>
      </c>
      <c r="C9745" s="2">
        <f>HYPERLINK("https://sao.dolgi.msk.ru/account/1404276833/", 1404276833)</f>
        <v>1404276833</v>
      </c>
      <c r="D9745">
        <v>0</v>
      </c>
    </row>
    <row r="9746" spans="1:4" hidden="1" x14ac:dyDescent="0.25">
      <c r="A9746" t="s">
        <v>694</v>
      </c>
      <c r="B9746" t="s">
        <v>353</v>
      </c>
      <c r="C9746" s="2">
        <f>HYPERLINK("https://sao.dolgi.msk.ru/account/1404277668/", 1404277668)</f>
        <v>1404277668</v>
      </c>
      <c r="D9746">
        <v>0</v>
      </c>
    </row>
    <row r="9747" spans="1:4" x14ac:dyDescent="0.25">
      <c r="A9747" t="s">
        <v>694</v>
      </c>
      <c r="B9747" t="s">
        <v>354</v>
      </c>
      <c r="C9747" s="2">
        <f>HYPERLINK("https://sao.dolgi.msk.ru/account/1404277676/", 1404277676)</f>
        <v>1404277676</v>
      </c>
      <c r="D9747">
        <v>10663.77</v>
      </c>
    </row>
    <row r="9748" spans="1:4" hidden="1" x14ac:dyDescent="0.25">
      <c r="A9748" t="s">
        <v>694</v>
      </c>
      <c r="B9748" t="s">
        <v>355</v>
      </c>
      <c r="C9748" s="2">
        <f>HYPERLINK("https://sao.dolgi.msk.ru/account/1404273915/", 1404273915)</f>
        <v>1404273915</v>
      </c>
      <c r="D9748">
        <v>-7742.08</v>
      </c>
    </row>
    <row r="9749" spans="1:4" hidden="1" x14ac:dyDescent="0.25">
      <c r="A9749" t="s">
        <v>694</v>
      </c>
      <c r="B9749" t="s">
        <v>356</v>
      </c>
      <c r="C9749" s="2">
        <f>HYPERLINK("https://sao.dolgi.msk.ru/account/1404276083/", 1404276083)</f>
        <v>1404276083</v>
      </c>
      <c r="D9749">
        <v>-5221.5600000000004</v>
      </c>
    </row>
    <row r="9750" spans="1:4" hidden="1" x14ac:dyDescent="0.25">
      <c r="A9750" t="s">
        <v>694</v>
      </c>
      <c r="B9750" t="s">
        <v>357</v>
      </c>
      <c r="C9750" s="2">
        <f>HYPERLINK("https://sao.dolgi.msk.ru/account/1404276841/", 1404276841)</f>
        <v>1404276841</v>
      </c>
      <c r="D9750">
        <v>0</v>
      </c>
    </row>
    <row r="9751" spans="1:4" hidden="1" x14ac:dyDescent="0.25">
      <c r="A9751" t="s">
        <v>694</v>
      </c>
      <c r="B9751" t="s">
        <v>358</v>
      </c>
      <c r="C9751" s="2">
        <f>HYPERLINK("https://sao.dolgi.msk.ru/account/1404273923/", 1404273923)</f>
        <v>1404273923</v>
      </c>
      <c r="D9751">
        <v>0</v>
      </c>
    </row>
    <row r="9752" spans="1:4" hidden="1" x14ac:dyDescent="0.25">
      <c r="A9752" t="s">
        <v>694</v>
      </c>
      <c r="B9752" t="s">
        <v>359</v>
      </c>
      <c r="C9752" s="2">
        <f>HYPERLINK("https://sao.dolgi.msk.ru/account/1404276868/", 1404276868)</f>
        <v>1404276868</v>
      </c>
      <c r="D9752">
        <v>0</v>
      </c>
    </row>
    <row r="9753" spans="1:4" x14ac:dyDescent="0.25">
      <c r="A9753" t="s">
        <v>694</v>
      </c>
      <c r="B9753" t="s">
        <v>360</v>
      </c>
      <c r="C9753" s="2">
        <f>HYPERLINK("https://sao.dolgi.msk.ru/account/1404273931/", 1404273931)</f>
        <v>1404273931</v>
      </c>
      <c r="D9753">
        <v>21182.18</v>
      </c>
    </row>
    <row r="9754" spans="1:4" x14ac:dyDescent="0.25">
      <c r="A9754" t="s">
        <v>694</v>
      </c>
      <c r="B9754" t="s">
        <v>361</v>
      </c>
      <c r="C9754" s="2">
        <f>HYPERLINK("https://sao.dolgi.msk.ru/account/1404279217/", 1404279217)</f>
        <v>1404279217</v>
      </c>
      <c r="D9754">
        <v>8338.68</v>
      </c>
    </row>
    <row r="9755" spans="1:4" hidden="1" x14ac:dyDescent="0.25">
      <c r="A9755" t="s">
        <v>694</v>
      </c>
      <c r="B9755" t="s">
        <v>362</v>
      </c>
      <c r="C9755" s="2">
        <f>HYPERLINK("https://sao.dolgi.msk.ru/account/1404273958/", 1404273958)</f>
        <v>1404273958</v>
      </c>
      <c r="D9755">
        <v>-7283.48</v>
      </c>
    </row>
    <row r="9756" spans="1:4" hidden="1" x14ac:dyDescent="0.25">
      <c r="A9756" t="s">
        <v>694</v>
      </c>
      <c r="B9756" t="s">
        <v>362</v>
      </c>
      <c r="C9756" s="2">
        <f>HYPERLINK("https://sao.dolgi.msk.ru/account/1404279225/", 1404279225)</f>
        <v>1404279225</v>
      </c>
      <c r="D9756">
        <v>0</v>
      </c>
    </row>
    <row r="9757" spans="1:4" hidden="1" x14ac:dyDescent="0.25">
      <c r="A9757" t="s">
        <v>694</v>
      </c>
      <c r="B9757" t="s">
        <v>363</v>
      </c>
      <c r="C9757" s="2">
        <f>HYPERLINK("https://sao.dolgi.msk.ru/account/1404277692/", 1404277692)</f>
        <v>1404277692</v>
      </c>
      <c r="D9757">
        <v>0</v>
      </c>
    </row>
    <row r="9758" spans="1:4" x14ac:dyDescent="0.25">
      <c r="A9758" t="s">
        <v>694</v>
      </c>
      <c r="B9758" t="s">
        <v>364</v>
      </c>
      <c r="C9758" s="2">
        <f>HYPERLINK("https://sao.dolgi.msk.ru/account/1404275785/", 1404275785)</f>
        <v>1404275785</v>
      </c>
      <c r="D9758">
        <v>763.65</v>
      </c>
    </row>
    <row r="9759" spans="1:4" hidden="1" x14ac:dyDescent="0.25">
      <c r="A9759" t="s">
        <v>694</v>
      </c>
      <c r="B9759" t="s">
        <v>365</v>
      </c>
      <c r="C9759" s="2">
        <f>HYPERLINK("https://sao.dolgi.msk.ru/account/1404273632/", 1404273632)</f>
        <v>1404273632</v>
      </c>
      <c r="D9759">
        <v>-3718.79</v>
      </c>
    </row>
    <row r="9760" spans="1:4" hidden="1" x14ac:dyDescent="0.25">
      <c r="A9760" t="s">
        <v>694</v>
      </c>
      <c r="B9760" t="s">
        <v>366</v>
      </c>
      <c r="C9760" s="2">
        <f>HYPERLINK("https://sao.dolgi.msk.ru/account/1404277529/", 1404277529)</f>
        <v>1404277529</v>
      </c>
      <c r="D9760">
        <v>-4951.3100000000004</v>
      </c>
    </row>
    <row r="9761" spans="1:4" hidden="1" x14ac:dyDescent="0.25">
      <c r="A9761" t="s">
        <v>694</v>
      </c>
      <c r="B9761" t="s">
        <v>367</v>
      </c>
      <c r="C9761" s="2">
        <f>HYPERLINK("https://sao.dolgi.msk.ru/account/1404276024/", 1404276024)</f>
        <v>1404276024</v>
      </c>
      <c r="D9761">
        <v>-4133.5600000000004</v>
      </c>
    </row>
    <row r="9762" spans="1:4" hidden="1" x14ac:dyDescent="0.25">
      <c r="A9762" t="s">
        <v>694</v>
      </c>
      <c r="B9762" t="s">
        <v>367</v>
      </c>
      <c r="C9762" s="2">
        <f>HYPERLINK("https://sao.dolgi.msk.ru/account/1404278302/", 1404278302)</f>
        <v>1404278302</v>
      </c>
      <c r="D9762">
        <v>-4673.2299999999996</v>
      </c>
    </row>
    <row r="9763" spans="1:4" hidden="1" x14ac:dyDescent="0.25">
      <c r="A9763" t="s">
        <v>694</v>
      </c>
      <c r="B9763" t="s">
        <v>368</v>
      </c>
      <c r="C9763" s="2">
        <f>HYPERLINK("https://sao.dolgi.msk.ru/account/1404275793/", 1404275793)</f>
        <v>1404275793</v>
      </c>
      <c r="D9763">
        <v>-5601.99</v>
      </c>
    </row>
    <row r="9764" spans="1:4" hidden="1" x14ac:dyDescent="0.25">
      <c r="A9764" t="s">
        <v>694</v>
      </c>
      <c r="B9764" t="s">
        <v>369</v>
      </c>
      <c r="C9764" s="2">
        <f>HYPERLINK("https://sao.dolgi.msk.ru/account/1404274395/", 1404274395)</f>
        <v>1404274395</v>
      </c>
      <c r="D9764">
        <v>0</v>
      </c>
    </row>
    <row r="9765" spans="1:4" hidden="1" x14ac:dyDescent="0.25">
      <c r="A9765" t="s">
        <v>694</v>
      </c>
      <c r="B9765" t="s">
        <v>370</v>
      </c>
      <c r="C9765" s="2">
        <f>HYPERLINK("https://sao.dolgi.msk.ru/account/1404274408/", 1404274408)</f>
        <v>1404274408</v>
      </c>
      <c r="D9765">
        <v>-4434.7299999999996</v>
      </c>
    </row>
    <row r="9766" spans="1:4" x14ac:dyDescent="0.25">
      <c r="A9766" t="s">
        <v>694</v>
      </c>
      <c r="B9766" t="s">
        <v>371</v>
      </c>
      <c r="C9766" s="2">
        <f>HYPERLINK("https://sao.dolgi.msk.ru/account/1404278927/", 1404278927)</f>
        <v>1404278927</v>
      </c>
      <c r="D9766">
        <v>17790.79</v>
      </c>
    </row>
    <row r="9767" spans="1:4" x14ac:dyDescent="0.25">
      <c r="A9767" t="s">
        <v>694</v>
      </c>
      <c r="B9767" t="s">
        <v>372</v>
      </c>
      <c r="C9767" s="2">
        <f>HYPERLINK("https://sao.dolgi.msk.ru/account/1404273659/", 1404273659)</f>
        <v>1404273659</v>
      </c>
      <c r="D9767">
        <v>23236.6</v>
      </c>
    </row>
    <row r="9768" spans="1:4" hidden="1" x14ac:dyDescent="0.25">
      <c r="A9768" t="s">
        <v>694</v>
      </c>
      <c r="B9768" t="s">
        <v>373</v>
      </c>
      <c r="C9768" s="2">
        <f>HYPERLINK("https://sao.dolgi.msk.ru/account/1404277537/", 1404277537)</f>
        <v>1404277537</v>
      </c>
      <c r="D9768">
        <v>-6002.61</v>
      </c>
    </row>
    <row r="9769" spans="1:4" hidden="1" x14ac:dyDescent="0.25">
      <c r="A9769" t="s">
        <v>694</v>
      </c>
      <c r="B9769" t="s">
        <v>374</v>
      </c>
      <c r="C9769" s="2">
        <f>HYPERLINK("https://sao.dolgi.msk.ru/account/1404278935/", 1404278935)</f>
        <v>1404278935</v>
      </c>
      <c r="D9769">
        <v>-7748.68</v>
      </c>
    </row>
    <row r="9770" spans="1:4" hidden="1" x14ac:dyDescent="0.25">
      <c r="A9770" t="s">
        <v>694</v>
      </c>
      <c r="B9770" t="s">
        <v>375</v>
      </c>
      <c r="C9770" s="2">
        <f>HYPERLINK("https://sao.dolgi.msk.ru/account/1404277545/", 1404277545)</f>
        <v>1404277545</v>
      </c>
      <c r="D9770">
        <v>-4033.46</v>
      </c>
    </row>
    <row r="9771" spans="1:4" hidden="1" x14ac:dyDescent="0.25">
      <c r="A9771" t="s">
        <v>694</v>
      </c>
      <c r="B9771" t="s">
        <v>375</v>
      </c>
      <c r="C9771" s="2">
        <f>HYPERLINK("https://sao.dolgi.msk.ru/account/1404293908/", 1404293908)</f>
        <v>1404293908</v>
      </c>
      <c r="D9771">
        <v>0</v>
      </c>
    </row>
    <row r="9772" spans="1:4" hidden="1" x14ac:dyDescent="0.25">
      <c r="A9772" t="s">
        <v>694</v>
      </c>
      <c r="B9772" t="s">
        <v>376</v>
      </c>
      <c r="C9772" s="2">
        <f>HYPERLINK("https://sao.dolgi.msk.ru/account/1404276649/", 1404276649)</f>
        <v>1404276649</v>
      </c>
      <c r="D9772">
        <v>-4815.67</v>
      </c>
    </row>
    <row r="9773" spans="1:4" x14ac:dyDescent="0.25">
      <c r="A9773" t="s">
        <v>694</v>
      </c>
      <c r="B9773" t="s">
        <v>377</v>
      </c>
      <c r="C9773" s="2">
        <f>HYPERLINK("https://sao.dolgi.msk.ru/account/1404275814/", 1404275814)</f>
        <v>1404275814</v>
      </c>
      <c r="D9773">
        <v>24225.119999999999</v>
      </c>
    </row>
    <row r="9774" spans="1:4" hidden="1" x14ac:dyDescent="0.25">
      <c r="A9774" t="s">
        <v>694</v>
      </c>
      <c r="B9774" t="s">
        <v>378</v>
      </c>
      <c r="C9774" s="2">
        <f>HYPERLINK("https://sao.dolgi.msk.ru/account/1404274416/", 1404274416)</f>
        <v>1404274416</v>
      </c>
      <c r="D9774">
        <v>-5378.82</v>
      </c>
    </row>
    <row r="9775" spans="1:4" hidden="1" x14ac:dyDescent="0.25">
      <c r="A9775" t="s">
        <v>694</v>
      </c>
      <c r="B9775" t="s">
        <v>379</v>
      </c>
      <c r="C9775" s="2">
        <f>HYPERLINK("https://sao.dolgi.msk.ru/account/1404275099/", 1404275099)</f>
        <v>1404275099</v>
      </c>
      <c r="D9775">
        <v>0</v>
      </c>
    </row>
    <row r="9776" spans="1:4" hidden="1" x14ac:dyDescent="0.25">
      <c r="A9776" t="s">
        <v>694</v>
      </c>
      <c r="B9776" t="s">
        <v>380</v>
      </c>
      <c r="C9776" s="2">
        <f>HYPERLINK("https://sao.dolgi.msk.ru/account/1404275822/", 1404275822)</f>
        <v>1404275822</v>
      </c>
      <c r="D9776">
        <v>-2662.25</v>
      </c>
    </row>
    <row r="9777" spans="1:4" hidden="1" x14ac:dyDescent="0.25">
      <c r="A9777" t="s">
        <v>694</v>
      </c>
      <c r="B9777" t="s">
        <v>381</v>
      </c>
      <c r="C9777" s="2">
        <f>HYPERLINK("https://sao.dolgi.msk.ru/account/1404277553/", 1404277553)</f>
        <v>1404277553</v>
      </c>
      <c r="D9777">
        <v>-260</v>
      </c>
    </row>
    <row r="9778" spans="1:4" hidden="1" x14ac:dyDescent="0.25">
      <c r="A9778" t="s">
        <v>694</v>
      </c>
      <c r="B9778" t="s">
        <v>382</v>
      </c>
      <c r="C9778" s="2">
        <f>HYPERLINK("https://sao.dolgi.msk.ru/account/1404276657/", 1404276657)</f>
        <v>1404276657</v>
      </c>
      <c r="D9778">
        <v>-7072.68</v>
      </c>
    </row>
    <row r="9779" spans="1:4" hidden="1" x14ac:dyDescent="0.25">
      <c r="A9779" t="s">
        <v>694</v>
      </c>
      <c r="B9779" t="s">
        <v>383</v>
      </c>
      <c r="C9779" s="2">
        <f>HYPERLINK("https://sao.dolgi.msk.ru/account/1404275697/", 1404275697)</f>
        <v>1404275697</v>
      </c>
      <c r="D9779">
        <v>-5290.18</v>
      </c>
    </row>
    <row r="9780" spans="1:4" x14ac:dyDescent="0.25">
      <c r="A9780" t="s">
        <v>694</v>
      </c>
      <c r="B9780" t="s">
        <v>384</v>
      </c>
      <c r="C9780" s="2">
        <f>HYPERLINK("https://sao.dolgi.msk.ru/account/1404278193/", 1404278193)</f>
        <v>1404278193</v>
      </c>
      <c r="D9780">
        <v>3795.01</v>
      </c>
    </row>
    <row r="9781" spans="1:4" x14ac:dyDescent="0.25">
      <c r="A9781" t="s">
        <v>694</v>
      </c>
      <c r="B9781" t="s">
        <v>385</v>
      </c>
      <c r="C9781" s="2">
        <f>HYPERLINK("https://sao.dolgi.msk.ru/account/1404273528/", 1404273528)</f>
        <v>1404273528</v>
      </c>
      <c r="D9781">
        <v>3273.84</v>
      </c>
    </row>
    <row r="9782" spans="1:4" x14ac:dyDescent="0.25">
      <c r="A9782" t="s">
        <v>694</v>
      </c>
      <c r="B9782" t="s">
        <v>386</v>
      </c>
      <c r="C9782" s="2">
        <f>HYPERLINK("https://sao.dolgi.msk.ru/account/1404277369/", 1404277369)</f>
        <v>1404277369</v>
      </c>
      <c r="D9782">
        <v>5520.74</v>
      </c>
    </row>
    <row r="9783" spans="1:4" hidden="1" x14ac:dyDescent="0.25">
      <c r="A9783" t="s">
        <v>694</v>
      </c>
      <c r="B9783" t="s">
        <v>387</v>
      </c>
      <c r="C9783" s="2">
        <f>HYPERLINK("https://sao.dolgi.msk.ru/account/1404274926/", 1404274926)</f>
        <v>1404274926</v>
      </c>
      <c r="D9783">
        <v>0</v>
      </c>
    </row>
    <row r="9784" spans="1:4" hidden="1" x14ac:dyDescent="0.25">
      <c r="A9784" t="s">
        <v>694</v>
      </c>
      <c r="B9784" t="s">
        <v>388</v>
      </c>
      <c r="C9784" s="2">
        <f>HYPERLINK("https://sao.dolgi.msk.ru/account/1404278812/", 1404278812)</f>
        <v>1404278812</v>
      </c>
      <c r="D9784">
        <v>-2998.47</v>
      </c>
    </row>
    <row r="9785" spans="1:4" hidden="1" x14ac:dyDescent="0.25">
      <c r="A9785" t="s">
        <v>694</v>
      </c>
      <c r="B9785" t="s">
        <v>389</v>
      </c>
      <c r="C9785" s="2">
        <f>HYPERLINK("https://sao.dolgi.msk.ru/account/1404276526/", 1404276526)</f>
        <v>1404276526</v>
      </c>
      <c r="D9785">
        <v>-7636.9</v>
      </c>
    </row>
    <row r="9786" spans="1:4" hidden="1" x14ac:dyDescent="0.25">
      <c r="A9786" t="s">
        <v>694</v>
      </c>
      <c r="B9786" t="s">
        <v>390</v>
      </c>
      <c r="C9786" s="2">
        <f>HYPERLINK("https://sao.dolgi.msk.ru/account/1404277377/", 1404277377)</f>
        <v>1404277377</v>
      </c>
      <c r="D9786">
        <v>-2355.0500000000002</v>
      </c>
    </row>
    <row r="9787" spans="1:4" hidden="1" x14ac:dyDescent="0.25">
      <c r="A9787" t="s">
        <v>694</v>
      </c>
      <c r="B9787" t="s">
        <v>390</v>
      </c>
      <c r="C9787" s="2">
        <f>HYPERLINK("https://sao.dolgi.msk.ru/account/1404277385/", 1404277385)</f>
        <v>1404277385</v>
      </c>
      <c r="D9787">
        <v>0</v>
      </c>
    </row>
    <row r="9788" spans="1:4" hidden="1" x14ac:dyDescent="0.25">
      <c r="A9788" t="s">
        <v>694</v>
      </c>
      <c r="B9788" t="s">
        <v>390</v>
      </c>
      <c r="C9788" s="2">
        <f>HYPERLINK("https://sao.dolgi.msk.ru/account/1404278839/", 1404278839)</f>
        <v>1404278839</v>
      </c>
      <c r="D9788">
        <v>-2405.1</v>
      </c>
    </row>
    <row r="9789" spans="1:4" hidden="1" x14ac:dyDescent="0.25">
      <c r="A9789" t="s">
        <v>694</v>
      </c>
      <c r="B9789" t="s">
        <v>391</v>
      </c>
      <c r="C9789" s="2">
        <f>HYPERLINK("https://sao.dolgi.msk.ru/account/1404277393/", 1404277393)</f>
        <v>1404277393</v>
      </c>
      <c r="D9789">
        <v>-5374.76</v>
      </c>
    </row>
    <row r="9790" spans="1:4" hidden="1" x14ac:dyDescent="0.25">
      <c r="A9790" t="s">
        <v>694</v>
      </c>
      <c r="B9790" t="s">
        <v>392</v>
      </c>
      <c r="C9790" s="2">
        <f>HYPERLINK("https://sao.dolgi.msk.ru/account/1404277289/", 1404277289)</f>
        <v>1404277289</v>
      </c>
      <c r="D9790">
        <v>0</v>
      </c>
    </row>
    <row r="9791" spans="1:4" hidden="1" x14ac:dyDescent="0.25">
      <c r="A9791" t="s">
        <v>694</v>
      </c>
      <c r="B9791" t="s">
        <v>393</v>
      </c>
      <c r="C9791" s="2">
        <f>HYPERLINK("https://sao.dolgi.msk.ru/account/1404278767/", 1404278767)</f>
        <v>1404278767</v>
      </c>
      <c r="D9791">
        <v>-4919.67</v>
      </c>
    </row>
    <row r="9792" spans="1:4" x14ac:dyDescent="0.25">
      <c r="A9792" t="s">
        <v>694</v>
      </c>
      <c r="B9792" t="s">
        <v>394</v>
      </c>
      <c r="C9792" s="2">
        <f>HYPERLINK("https://sao.dolgi.msk.ru/account/1404278054/", 1404278054)</f>
        <v>1404278054</v>
      </c>
      <c r="D9792">
        <v>1522.49</v>
      </c>
    </row>
    <row r="9793" spans="1:4" hidden="1" x14ac:dyDescent="0.25">
      <c r="A9793" t="s">
        <v>694</v>
      </c>
      <c r="B9793" t="s">
        <v>395</v>
      </c>
      <c r="C9793" s="2">
        <f>HYPERLINK("https://sao.dolgi.msk.ru/account/1404274328/", 1404274328)</f>
        <v>1404274328</v>
      </c>
      <c r="D9793">
        <v>0</v>
      </c>
    </row>
    <row r="9794" spans="1:4" hidden="1" x14ac:dyDescent="0.25">
      <c r="A9794" t="s">
        <v>694</v>
      </c>
      <c r="B9794" t="s">
        <v>396</v>
      </c>
      <c r="C9794" s="2">
        <f>HYPERLINK("https://sao.dolgi.msk.ru/account/1404275638/", 1404275638)</f>
        <v>1404275638</v>
      </c>
      <c r="D9794">
        <v>-4630.18</v>
      </c>
    </row>
    <row r="9795" spans="1:4" hidden="1" x14ac:dyDescent="0.25">
      <c r="A9795" t="s">
        <v>694</v>
      </c>
      <c r="B9795" t="s">
        <v>397</v>
      </c>
      <c r="C9795" s="2">
        <f>HYPERLINK("https://sao.dolgi.msk.ru/account/1404278775/", 1404278775)</f>
        <v>1404278775</v>
      </c>
      <c r="D9795">
        <v>0</v>
      </c>
    </row>
    <row r="9796" spans="1:4" hidden="1" x14ac:dyDescent="0.25">
      <c r="A9796" t="s">
        <v>694</v>
      </c>
      <c r="B9796" t="s">
        <v>398</v>
      </c>
      <c r="C9796" s="2">
        <f>HYPERLINK("https://sao.dolgi.msk.ru/account/1404275371/", 1404275371)</f>
        <v>1404275371</v>
      </c>
      <c r="D9796">
        <v>-1865.18</v>
      </c>
    </row>
    <row r="9797" spans="1:4" hidden="1" x14ac:dyDescent="0.25">
      <c r="A9797" t="s">
        <v>694</v>
      </c>
      <c r="B9797" t="s">
        <v>398</v>
      </c>
      <c r="C9797" s="2">
        <f>HYPERLINK("https://sao.dolgi.msk.ru/account/1404275646/", 1404275646)</f>
        <v>1404275646</v>
      </c>
      <c r="D9797">
        <v>0</v>
      </c>
    </row>
    <row r="9798" spans="1:4" hidden="1" x14ac:dyDescent="0.25">
      <c r="A9798" t="s">
        <v>694</v>
      </c>
      <c r="B9798" t="s">
        <v>398</v>
      </c>
      <c r="C9798" s="2">
        <f>HYPERLINK("https://sao.dolgi.msk.ru/account/1404277991/", 1404277991)</f>
        <v>1404277991</v>
      </c>
      <c r="D9798">
        <v>0</v>
      </c>
    </row>
    <row r="9799" spans="1:4" x14ac:dyDescent="0.25">
      <c r="A9799" t="s">
        <v>694</v>
      </c>
      <c r="B9799" t="s">
        <v>399</v>
      </c>
      <c r="C9799" s="2">
        <f>HYPERLINK("https://sao.dolgi.msk.ru/account/1404277297/", 1404277297)</f>
        <v>1404277297</v>
      </c>
      <c r="D9799">
        <v>25795.73</v>
      </c>
    </row>
    <row r="9800" spans="1:4" hidden="1" x14ac:dyDescent="0.25">
      <c r="A9800" t="s">
        <v>694</v>
      </c>
      <c r="B9800" t="s">
        <v>400</v>
      </c>
      <c r="C9800" s="2">
        <f>HYPERLINK("https://sao.dolgi.msk.ru/account/1404276462/", 1404276462)</f>
        <v>1404276462</v>
      </c>
      <c r="D9800">
        <v>-6.52</v>
      </c>
    </row>
    <row r="9801" spans="1:4" hidden="1" x14ac:dyDescent="0.25">
      <c r="A9801" t="s">
        <v>694</v>
      </c>
      <c r="B9801" t="s">
        <v>401</v>
      </c>
      <c r="C9801" s="2">
        <f>HYPERLINK("https://sao.dolgi.msk.ru/account/1404277246/", 1404277246)</f>
        <v>1404277246</v>
      </c>
      <c r="D9801">
        <v>-4940.41</v>
      </c>
    </row>
    <row r="9802" spans="1:4" hidden="1" x14ac:dyDescent="0.25">
      <c r="A9802" t="s">
        <v>694</v>
      </c>
      <c r="B9802" t="s">
        <v>402</v>
      </c>
      <c r="C9802" s="2">
        <f>HYPERLINK("https://sao.dolgi.msk.ru/account/1404274299/", 1404274299)</f>
        <v>1404274299</v>
      </c>
      <c r="D9802">
        <v>-8118.91</v>
      </c>
    </row>
    <row r="9803" spans="1:4" hidden="1" x14ac:dyDescent="0.25">
      <c r="A9803" t="s">
        <v>694</v>
      </c>
      <c r="B9803" t="s">
        <v>403</v>
      </c>
      <c r="C9803" s="2">
        <f>HYPERLINK("https://sao.dolgi.msk.ru/account/1404278003/", 1404278003)</f>
        <v>1404278003</v>
      </c>
      <c r="D9803">
        <v>-4916.59</v>
      </c>
    </row>
    <row r="9804" spans="1:4" hidden="1" x14ac:dyDescent="0.25">
      <c r="A9804" t="s">
        <v>694</v>
      </c>
      <c r="B9804" t="s">
        <v>404</v>
      </c>
      <c r="C9804" s="2">
        <f>HYPERLINK("https://sao.dolgi.msk.ru/account/1404278732/", 1404278732)</f>
        <v>1404278732</v>
      </c>
      <c r="D9804">
        <v>-505.6</v>
      </c>
    </row>
    <row r="9805" spans="1:4" x14ac:dyDescent="0.25">
      <c r="A9805" t="s">
        <v>694</v>
      </c>
      <c r="B9805" t="s">
        <v>405</v>
      </c>
      <c r="C9805" s="2">
        <f>HYPERLINK("https://sao.dolgi.msk.ru/account/1404274301/", 1404274301)</f>
        <v>1404274301</v>
      </c>
      <c r="D9805">
        <v>20174.52</v>
      </c>
    </row>
    <row r="9806" spans="1:4" hidden="1" x14ac:dyDescent="0.25">
      <c r="A9806" t="s">
        <v>694</v>
      </c>
      <c r="B9806" t="s">
        <v>406</v>
      </c>
      <c r="C9806" s="2">
        <f>HYPERLINK("https://sao.dolgi.msk.ru/account/1404275662/", 1404275662)</f>
        <v>1404275662</v>
      </c>
      <c r="D9806">
        <v>-1703.35</v>
      </c>
    </row>
    <row r="9807" spans="1:4" hidden="1" x14ac:dyDescent="0.25">
      <c r="A9807" t="s">
        <v>694</v>
      </c>
      <c r="B9807" t="s">
        <v>406</v>
      </c>
      <c r="C9807" s="2">
        <f>HYPERLINK("https://sao.dolgi.msk.ru/account/1404278011/", 1404278011)</f>
        <v>1404278011</v>
      </c>
      <c r="D9807">
        <v>-2660.54</v>
      </c>
    </row>
    <row r="9808" spans="1:4" hidden="1" x14ac:dyDescent="0.25">
      <c r="A9808" t="s">
        <v>694</v>
      </c>
      <c r="B9808" t="s">
        <v>407</v>
      </c>
      <c r="C9808" s="2">
        <f>HYPERLINK("https://sao.dolgi.msk.ru/account/1404275603/", 1404275603)</f>
        <v>1404275603</v>
      </c>
      <c r="D9808">
        <v>-5383.75</v>
      </c>
    </row>
    <row r="9809" spans="1:4" hidden="1" x14ac:dyDescent="0.25">
      <c r="A9809" t="s">
        <v>694</v>
      </c>
      <c r="B9809" t="s">
        <v>408</v>
      </c>
      <c r="C9809" s="2">
        <f>HYPERLINK("https://sao.dolgi.msk.ru/account/1404274854/", 1404274854)</f>
        <v>1404274854</v>
      </c>
      <c r="D9809">
        <v>0</v>
      </c>
    </row>
    <row r="9810" spans="1:4" x14ac:dyDescent="0.25">
      <c r="A9810" t="s">
        <v>694</v>
      </c>
      <c r="B9810" t="s">
        <v>409</v>
      </c>
      <c r="C9810" s="2">
        <f>HYPERLINK("https://sao.dolgi.msk.ru/account/1404276411/", 1404276411)</f>
        <v>1404276411</v>
      </c>
      <c r="D9810">
        <v>958.95</v>
      </c>
    </row>
    <row r="9811" spans="1:4" hidden="1" x14ac:dyDescent="0.25">
      <c r="A9811" t="s">
        <v>694</v>
      </c>
      <c r="B9811" t="s">
        <v>410</v>
      </c>
      <c r="C9811" s="2">
        <f>HYPERLINK("https://sao.dolgi.msk.ru/account/1404273421/", 1404273421)</f>
        <v>1404273421</v>
      </c>
      <c r="D9811">
        <v>-3876.4</v>
      </c>
    </row>
    <row r="9812" spans="1:4" x14ac:dyDescent="0.25">
      <c r="A9812" t="s">
        <v>694</v>
      </c>
      <c r="B9812" t="s">
        <v>411</v>
      </c>
      <c r="C9812" s="2">
        <f>HYPERLINK("https://sao.dolgi.msk.ru/account/1404278046/", 1404278046)</f>
        <v>1404278046</v>
      </c>
      <c r="D9812">
        <v>16453.259999999998</v>
      </c>
    </row>
    <row r="9813" spans="1:4" hidden="1" x14ac:dyDescent="0.25">
      <c r="A9813" t="s">
        <v>694</v>
      </c>
      <c r="B9813" t="s">
        <v>429</v>
      </c>
      <c r="C9813" s="2">
        <f>HYPERLINK("https://sao.dolgi.msk.ru/account/1404276438/", 1404276438)</f>
        <v>1404276438</v>
      </c>
      <c r="D9813">
        <v>-2334.66</v>
      </c>
    </row>
    <row r="9814" spans="1:4" hidden="1" x14ac:dyDescent="0.25">
      <c r="A9814" t="s">
        <v>694</v>
      </c>
      <c r="B9814" t="s">
        <v>430</v>
      </c>
      <c r="C9814" s="2">
        <f>HYPERLINK("https://sao.dolgi.msk.ru/account/1404274862/", 1404274862)</f>
        <v>1404274862</v>
      </c>
      <c r="D9814">
        <v>-6360.13</v>
      </c>
    </row>
    <row r="9815" spans="1:4" hidden="1" x14ac:dyDescent="0.25">
      <c r="A9815" t="s">
        <v>694</v>
      </c>
      <c r="B9815" t="s">
        <v>431</v>
      </c>
      <c r="C9815" s="2">
        <f>HYPERLINK("https://sao.dolgi.msk.ru/account/1404276446/", 1404276446)</f>
        <v>1404276446</v>
      </c>
      <c r="D9815">
        <v>-8692.2199999999993</v>
      </c>
    </row>
    <row r="9816" spans="1:4" hidden="1" x14ac:dyDescent="0.25">
      <c r="A9816" t="s">
        <v>694</v>
      </c>
      <c r="B9816" t="s">
        <v>432</v>
      </c>
      <c r="C9816" s="2">
        <f>HYPERLINK("https://sao.dolgi.msk.ru/account/1404274002/", 1404274002)</f>
        <v>1404274002</v>
      </c>
      <c r="D9816">
        <v>-1708.23</v>
      </c>
    </row>
    <row r="9817" spans="1:4" hidden="1" x14ac:dyDescent="0.25">
      <c r="A9817" t="s">
        <v>694</v>
      </c>
      <c r="B9817" t="s">
        <v>432</v>
      </c>
      <c r="C9817" s="2">
        <f>HYPERLINK("https://sao.dolgi.msk.ru/account/1404277254/", 1404277254)</f>
        <v>1404277254</v>
      </c>
      <c r="D9817">
        <v>-3116.74</v>
      </c>
    </row>
    <row r="9818" spans="1:4" hidden="1" x14ac:dyDescent="0.25">
      <c r="A9818" t="s">
        <v>694</v>
      </c>
      <c r="B9818" t="s">
        <v>433</v>
      </c>
      <c r="C9818" s="2">
        <f>HYPERLINK("https://sao.dolgi.msk.ru/account/1404276454/", 1404276454)</f>
        <v>1404276454</v>
      </c>
      <c r="D9818">
        <v>-4739.8100000000004</v>
      </c>
    </row>
    <row r="9819" spans="1:4" hidden="1" x14ac:dyDescent="0.25">
      <c r="A9819" t="s">
        <v>694</v>
      </c>
      <c r="B9819" t="s">
        <v>434</v>
      </c>
      <c r="C9819" s="2">
        <f>HYPERLINK("https://sao.dolgi.msk.ru/account/1404275611/", 1404275611)</f>
        <v>1404275611</v>
      </c>
      <c r="D9819">
        <v>-4606.08</v>
      </c>
    </row>
    <row r="9820" spans="1:4" hidden="1" x14ac:dyDescent="0.25">
      <c r="A9820" t="s">
        <v>694</v>
      </c>
      <c r="B9820" t="s">
        <v>435</v>
      </c>
      <c r="C9820" s="2">
        <f>HYPERLINK("https://sao.dolgi.msk.ru/account/1404274889/", 1404274889)</f>
        <v>1404274889</v>
      </c>
      <c r="D9820">
        <v>-6559.27</v>
      </c>
    </row>
    <row r="9821" spans="1:4" x14ac:dyDescent="0.25">
      <c r="A9821" t="s">
        <v>694</v>
      </c>
      <c r="B9821" t="s">
        <v>436</v>
      </c>
      <c r="C9821" s="2">
        <f>HYPERLINK("https://sao.dolgi.msk.ru/account/1404273448/", 1404273448)</f>
        <v>1404273448</v>
      </c>
      <c r="D9821">
        <v>17717.43</v>
      </c>
    </row>
    <row r="9822" spans="1:4" hidden="1" x14ac:dyDescent="0.25">
      <c r="A9822" t="s">
        <v>694</v>
      </c>
      <c r="B9822" t="s">
        <v>437</v>
      </c>
      <c r="C9822" s="2">
        <f>HYPERLINK("https://sao.dolgi.msk.ru/account/1404277262/", 1404277262)</f>
        <v>1404277262</v>
      </c>
      <c r="D9822">
        <v>0</v>
      </c>
    </row>
    <row r="9823" spans="1:4" hidden="1" x14ac:dyDescent="0.25">
      <c r="A9823" t="s">
        <v>694</v>
      </c>
      <c r="B9823" t="s">
        <v>438</v>
      </c>
      <c r="C9823" s="2">
        <f>HYPERLINK("https://sao.dolgi.msk.ru/account/1404273456/", 1404273456)</f>
        <v>1404273456</v>
      </c>
      <c r="D9823">
        <v>-6325.32</v>
      </c>
    </row>
    <row r="9824" spans="1:4" hidden="1" x14ac:dyDescent="0.25">
      <c r="A9824" t="s">
        <v>694</v>
      </c>
      <c r="B9824" t="s">
        <v>439</v>
      </c>
      <c r="C9824" s="2">
        <f>HYPERLINK("https://sao.dolgi.msk.ru/account/1404277158/", 1404277158)</f>
        <v>1404277158</v>
      </c>
      <c r="D9824">
        <v>0</v>
      </c>
    </row>
    <row r="9825" spans="1:4" x14ac:dyDescent="0.25">
      <c r="A9825" t="s">
        <v>694</v>
      </c>
      <c r="B9825" t="s">
        <v>440</v>
      </c>
      <c r="C9825" s="2">
        <f>HYPERLINK("https://sao.dolgi.msk.ru/account/1404275718/", 1404275718)</f>
        <v>1404275718</v>
      </c>
      <c r="D9825">
        <v>3360.13</v>
      </c>
    </row>
    <row r="9826" spans="1:4" hidden="1" x14ac:dyDescent="0.25">
      <c r="A9826" t="s">
        <v>694</v>
      </c>
      <c r="B9826" t="s">
        <v>441</v>
      </c>
      <c r="C9826" s="2">
        <f>HYPERLINK("https://sao.dolgi.msk.ru/account/1404278214/", 1404278214)</f>
        <v>1404278214</v>
      </c>
      <c r="D9826">
        <v>-4129.3500000000004</v>
      </c>
    </row>
    <row r="9827" spans="1:4" x14ac:dyDescent="0.25">
      <c r="A9827" t="s">
        <v>694</v>
      </c>
      <c r="B9827" t="s">
        <v>442</v>
      </c>
      <c r="C9827" s="2">
        <f>HYPERLINK("https://sao.dolgi.msk.ru/account/1404274985/", 1404274985)</f>
        <v>1404274985</v>
      </c>
      <c r="D9827">
        <v>1059.96</v>
      </c>
    </row>
    <row r="9828" spans="1:4" x14ac:dyDescent="0.25">
      <c r="A9828" t="s">
        <v>694</v>
      </c>
      <c r="B9828" t="s">
        <v>443</v>
      </c>
      <c r="C9828" s="2">
        <f>HYPERLINK("https://sao.dolgi.msk.ru/account/1404276534/", 1404276534)</f>
        <v>1404276534</v>
      </c>
      <c r="D9828">
        <v>8547.5</v>
      </c>
    </row>
    <row r="9829" spans="1:4" hidden="1" x14ac:dyDescent="0.25">
      <c r="A9829" t="s">
        <v>694</v>
      </c>
      <c r="B9829" t="s">
        <v>444</v>
      </c>
      <c r="C9829" s="2">
        <f>HYPERLINK("https://sao.dolgi.msk.ru/account/1404276542/", 1404276542)</f>
        <v>1404276542</v>
      </c>
      <c r="D9829">
        <v>-115.08</v>
      </c>
    </row>
    <row r="9830" spans="1:4" hidden="1" x14ac:dyDescent="0.25">
      <c r="A9830" t="s">
        <v>694</v>
      </c>
      <c r="B9830" t="s">
        <v>445</v>
      </c>
      <c r="C9830" s="2">
        <f>HYPERLINK("https://sao.dolgi.msk.ru/account/1404277406/", 1404277406)</f>
        <v>1404277406</v>
      </c>
      <c r="D9830">
        <v>-2227.6</v>
      </c>
    </row>
    <row r="9831" spans="1:4" hidden="1" x14ac:dyDescent="0.25">
      <c r="A9831" t="s">
        <v>694</v>
      </c>
      <c r="B9831" t="s">
        <v>446</v>
      </c>
      <c r="C9831" s="2">
        <f>HYPERLINK("https://sao.dolgi.msk.ru/account/1404278222/", 1404278222)</f>
        <v>1404278222</v>
      </c>
      <c r="D9831">
        <v>-5400.6</v>
      </c>
    </row>
    <row r="9832" spans="1:4" hidden="1" x14ac:dyDescent="0.25">
      <c r="A9832" t="s">
        <v>694</v>
      </c>
      <c r="B9832" t="s">
        <v>447</v>
      </c>
      <c r="C9832" s="2">
        <f>HYPERLINK("https://sao.dolgi.msk.ru/account/1404277414/", 1404277414)</f>
        <v>1404277414</v>
      </c>
      <c r="D9832">
        <v>-8483</v>
      </c>
    </row>
    <row r="9833" spans="1:4" hidden="1" x14ac:dyDescent="0.25">
      <c r="A9833" t="s">
        <v>694</v>
      </c>
      <c r="B9833" t="s">
        <v>448</v>
      </c>
      <c r="C9833" s="2">
        <f>HYPERLINK("https://sao.dolgi.msk.ru/account/1404277422/", 1404277422)</f>
        <v>1404277422</v>
      </c>
      <c r="D9833">
        <v>0</v>
      </c>
    </row>
    <row r="9834" spans="1:4" hidden="1" x14ac:dyDescent="0.25">
      <c r="A9834" t="s">
        <v>694</v>
      </c>
      <c r="B9834" t="s">
        <v>449</v>
      </c>
      <c r="C9834" s="2">
        <f>HYPERLINK("https://sao.dolgi.msk.ru/account/1404273536/", 1404273536)</f>
        <v>1404273536</v>
      </c>
      <c r="D9834">
        <v>-3890.11</v>
      </c>
    </row>
    <row r="9835" spans="1:4" hidden="1" x14ac:dyDescent="0.25">
      <c r="A9835" t="s">
        <v>694</v>
      </c>
      <c r="B9835" t="s">
        <v>450</v>
      </c>
      <c r="C9835" s="2">
        <f>HYPERLINK("https://sao.dolgi.msk.ru/account/1404275777/", 1404275777)</f>
        <v>1404275777</v>
      </c>
      <c r="D9835">
        <v>-5858.39</v>
      </c>
    </row>
    <row r="9836" spans="1:4" hidden="1" x14ac:dyDescent="0.25">
      <c r="A9836" t="s">
        <v>694</v>
      </c>
      <c r="B9836" t="s">
        <v>451</v>
      </c>
      <c r="C9836" s="2">
        <f>HYPERLINK("https://sao.dolgi.msk.ru/account/1404277481/", 1404277481)</f>
        <v>1404277481</v>
      </c>
      <c r="D9836">
        <v>-1906.89</v>
      </c>
    </row>
    <row r="9837" spans="1:4" x14ac:dyDescent="0.25">
      <c r="A9837" t="s">
        <v>694</v>
      </c>
      <c r="B9837" t="s">
        <v>451</v>
      </c>
      <c r="C9837" s="2">
        <f>HYPERLINK("https://sao.dolgi.msk.ru/account/1404278281/", 1404278281)</f>
        <v>1404278281</v>
      </c>
      <c r="D9837">
        <v>2639.19</v>
      </c>
    </row>
    <row r="9838" spans="1:4" hidden="1" x14ac:dyDescent="0.25">
      <c r="A9838" t="s">
        <v>694</v>
      </c>
      <c r="B9838" t="s">
        <v>452</v>
      </c>
      <c r="C9838" s="2">
        <f>HYPERLINK("https://sao.dolgi.msk.ru/account/1404278898/", 1404278898)</f>
        <v>1404278898</v>
      </c>
      <c r="D9838">
        <v>-4863.7</v>
      </c>
    </row>
    <row r="9839" spans="1:4" hidden="1" x14ac:dyDescent="0.25">
      <c r="A9839" t="s">
        <v>694</v>
      </c>
      <c r="B9839" t="s">
        <v>453</v>
      </c>
      <c r="C9839" s="2">
        <f>HYPERLINK("https://sao.dolgi.msk.ru/account/1404278919/", 1404278919)</f>
        <v>1404278919</v>
      </c>
      <c r="D9839">
        <v>-5147.32</v>
      </c>
    </row>
    <row r="9840" spans="1:4" x14ac:dyDescent="0.25">
      <c r="A9840" t="s">
        <v>694</v>
      </c>
      <c r="B9840" t="s">
        <v>454</v>
      </c>
      <c r="C9840" s="2">
        <f>HYPERLINK("https://sao.dolgi.msk.ru/account/1404273608/", 1404273608)</f>
        <v>1404273608</v>
      </c>
      <c r="D9840">
        <v>25954.69</v>
      </c>
    </row>
    <row r="9841" spans="1:4" hidden="1" x14ac:dyDescent="0.25">
      <c r="A9841" t="s">
        <v>694</v>
      </c>
      <c r="B9841" t="s">
        <v>455</v>
      </c>
      <c r="C9841" s="2">
        <f>HYPERLINK("https://sao.dolgi.msk.ru/account/1404277502/", 1404277502)</f>
        <v>1404277502</v>
      </c>
      <c r="D9841">
        <v>0</v>
      </c>
    </row>
    <row r="9842" spans="1:4" hidden="1" x14ac:dyDescent="0.25">
      <c r="A9842" t="s">
        <v>694</v>
      </c>
      <c r="B9842" t="s">
        <v>456</v>
      </c>
      <c r="C9842" s="2">
        <f>HYPERLINK("https://sao.dolgi.msk.ru/account/1404276614/", 1404276614)</f>
        <v>1404276614</v>
      </c>
      <c r="D9842">
        <v>-4373.18</v>
      </c>
    </row>
    <row r="9843" spans="1:4" hidden="1" x14ac:dyDescent="0.25">
      <c r="A9843" t="s">
        <v>694</v>
      </c>
      <c r="B9843" t="s">
        <v>457</v>
      </c>
      <c r="C9843" s="2">
        <f>HYPERLINK("https://sao.dolgi.msk.ru/account/1404275064/", 1404275064)</f>
        <v>1404275064</v>
      </c>
      <c r="D9843">
        <v>-4416.29</v>
      </c>
    </row>
    <row r="9844" spans="1:4" hidden="1" x14ac:dyDescent="0.25">
      <c r="A9844" t="s">
        <v>694</v>
      </c>
      <c r="B9844" t="s">
        <v>458</v>
      </c>
      <c r="C9844" s="2">
        <f>HYPERLINK("https://sao.dolgi.msk.ru/account/1404273616/", 1404273616)</f>
        <v>1404273616</v>
      </c>
      <c r="D9844">
        <v>-5787.8</v>
      </c>
    </row>
    <row r="9845" spans="1:4" x14ac:dyDescent="0.25">
      <c r="A9845" t="s">
        <v>694</v>
      </c>
      <c r="B9845" t="s">
        <v>459</v>
      </c>
      <c r="C9845" s="2">
        <f>HYPERLINK("https://sao.dolgi.msk.ru/account/1404273624/", 1404273624)</f>
        <v>1404273624</v>
      </c>
      <c r="D9845">
        <v>35460.79</v>
      </c>
    </row>
    <row r="9846" spans="1:4" hidden="1" x14ac:dyDescent="0.25">
      <c r="A9846" t="s">
        <v>694</v>
      </c>
      <c r="B9846" t="s">
        <v>460</v>
      </c>
      <c r="C9846" s="2">
        <f>HYPERLINK("https://sao.dolgi.msk.ru/account/1404275072/", 1404275072)</f>
        <v>1404275072</v>
      </c>
      <c r="D9846">
        <v>0</v>
      </c>
    </row>
    <row r="9847" spans="1:4" hidden="1" x14ac:dyDescent="0.25">
      <c r="A9847" t="s">
        <v>694</v>
      </c>
      <c r="B9847" t="s">
        <v>461</v>
      </c>
      <c r="C9847" s="2">
        <f>HYPERLINK("https://sao.dolgi.msk.ru/account/1404277844/", 1404277844)</f>
        <v>1404277844</v>
      </c>
      <c r="D9847">
        <v>-5508.31</v>
      </c>
    </row>
    <row r="9848" spans="1:4" hidden="1" x14ac:dyDescent="0.25">
      <c r="A9848" t="s">
        <v>694</v>
      </c>
      <c r="B9848" t="s">
        <v>462</v>
      </c>
      <c r="C9848" s="2">
        <f>HYPERLINK("https://sao.dolgi.msk.ru/account/1404274045/", 1404274045)</f>
        <v>1404274045</v>
      </c>
      <c r="D9848">
        <v>0</v>
      </c>
    </row>
    <row r="9849" spans="1:4" hidden="1" x14ac:dyDescent="0.25">
      <c r="A9849" t="s">
        <v>694</v>
      </c>
      <c r="B9849" t="s">
        <v>463</v>
      </c>
      <c r="C9849" s="2">
        <f>HYPERLINK("https://sao.dolgi.msk.ru/account/1404274053/", 1404274053)</f>
        <v>1404274053</v>
      </c>
      <c r="D9849">
        <v>-8667.26</v>
      </c>
    </row>
    <row r="9850" spans="1:4" hidden="1" x14ac:dyDescent="0.25">
      <c r="A9850" t="s">
        <v>694</v>
      </c>
      <c r="B9850" t="s">
        <v>464</v>
      </c>
      <c r="C9850" s="2">
        <f>HYPERLINK("https://sao.dolgi.msk.ru/account/1404276155/", 1404276155)</f>
        <v>1404276155</v>
      </c>
      <c r="D9850">
        <v>-9355.52</v>
      </c>
    </row>
    <row r="9851" spans="1:4" hidden="1" x14ac:dyDescent="0.25">
      <c r="A9851" t="s">
        <v>694</v>
      </c>
      <c r="B9851" t="s">
        <v>465</v>
      </c>
      <c r="C9851" s="2">
        <f>HYPERLINK("https://sao.dolgi.msk.ru/account/1404279305/", 1404279305)</f>
        <v>1404279305</v>
      </c>
      <c r="D9851">
        <v>-3063.16</v>
      </c>
    </row>
    <row r="9852" spans="1:4" x14ac:dyDescent="0.25">
      <c r="A9852" t="s">
        <v>694</v>
      </c>
      <c r="B9852" t="s">
        <v>466</v>
      </c>
      <c r="C9852" s="2">
        <f>HYPERLINK("https://sao.dolgi.msk.ru/account/1404275363/", 1404275363)</f>
        <v>1404275363</v>
      </c>
      <c r="D9852">
        <v>2410.8000000000002</v>
      </c>
    </row>
    <row r="9853" spans="1:4" hidden="1" x14ac:dyDescent="0.25">
      <c r="A9853" t="s">
        <v>694</v>
      </c>
      <c r="B9853" t="s">
        <v>467</v>
      </c>
      <c r="C9853" s="2">
        <f>HYPERLINK("https://sao.dolgi.msk.ru/account/1404278521/", 1404278521)</f>
        <v>1404278521</v>
      </c>
      <c r="D9853">
        <v>-7867.57</v>
      </c>
    </row>
    <row r="9854" spans="1:4" x14ac:dyDescent="0.25">
      <c r="A9854" t="s">
        <v>694</v>
      </c>
      <c r="B9854" t="s">
        <v>468</v>
      </c>
      <c r="C9854" s="2">
        <f>HYPERLINK("https://sao.dolgi.msk.ru/account/1404278548/", 1404278548)</f>
        <v>1404278548</v>
      </c>
      <c r="D9854">
        <v>1746.27</v>
      </c>
    </row>
    <row r="9855" spans="1:4" hidden="1" x14ac:dyDescent="0.25">
      <c r="A9855" t="s">
        <v>694</v>
      </c>
      <c r="B9855" t="s">
        <v>469</v>
      </c>
      <c r="C9855" s="2">
        <f>HYPERLINK("https://sao.dolgi.msk.ru/account/1404276999/", 1404276999)</f>
        <v>1404276999</v>
      </c>
      <c r="D9855">
        <v>-6569.12</v>
      </c>
    </row>
    <row r="9856" spans="1:4" x14ac:dyDescent="0.25">
      <c r="A9856" t="s">
        <v>694</v>
      </c>
      <c r="B9856" t="s">
        <v>470</v>
      </c>
      <c r="C9856" s="2">
        <f>HYPERLINK("https://sao.dolgi.msk.ru/account/1404279313/", 1404279313)</f>
        <v>1404279313</v>
      </c>
      <c r="D9856">
        <v>24608.06</v>
      </c>
    </row>
    <row r="9857" spans="1:4" x14ac:dyDescent="0.25">
      <c r="A9857" t="s">
        <v>694</v>
      </c>
      <c r="B9857" t="s">
        <v>471</v>
      </c>
      <c r="C9857" s="2">
        <f>HYPERLINK("https://sao.dolgi.msk.ru/account/1404277852/", 1404277852)</f>
        <v>1404277852</v>
      </c>
      <c r="D9857">
        <v>19464.39</v>
      </c>
    </row>
    <row r="9858" spans="1:4" hidden="1" x14ac:dyDescent="0.25">
      <c r="A9858" t="s">
        <v>694</v>
      </c>
      <c r="B9858" t="s">
        <v>472</v>
      </c>
      <c r="C9858" s="2">
        <f>HYPERLINK("https://sao.dolgi.msk.ru/account/1404278556/", 1404278556)</f>
        <v>1404278556</v>
      </c>
      <c r="D9858">
        <v>-8070.85</v>
      </c>
    </row>
    <row r="9859" spans="1:4" x14ac:dyDescent="0.25">
      <c r="A9859" t="s">
        <v>694</v>
      </c>
      <c r="B9859" t="s">
        <v>473</v>
      </c>
      <c r="C9859" s="2">
        <f>HYPERLINK("https://sao.dolgi.msk.ru/account/1404278564/", 1404278564)</f>
        <v>1404278564</v>
      </c>
      <c r="D9859">
        <v>4976.16</v>
      </c>
    </row>
    <row r="9860" spans="1:4" hidden="1" x14ac:dyDescent="0.25">
      <c r="A9860" t="s">
        <v>694</v>
      </c>
      <c r="B9860" t="s">
        <v>474</v>
      </c>
      <c r="C9860" s="2">
        <f>HYPERLINK("https://sao.dolgi.msk.ru/account/1404274635/", 1404274635)</f>
        <v>1404274635</v>
      </c>
      <c r="D9860">
        <v>0</v>
      </c>
    </row>
    <row r="9861" spans="1:4" hidden="1" x14ac:dyDescent="0.25">
      <c r="A9861" t="s">
        <v>694</v>
      </c>
      <c r="B9861" t="s">
        <v>475</v>
      </c>
      <c r="C9861" s="2">
        <f>HYPERLINK("https://sao.dolgi.msk.ru/account/1404277836/", 1404277836)</f>
        <v>1404277836</v>
      </c>
      <c r="D9861">
        <v>-5225.13</v>
      </c>
    </row>
    <row r="9862" spans="1:4" x14ac:dyDescent="0.25">
      <c r="A9862" t="s">
        <v>694</v>
      </c>
      <c r="B9862" t="s">
        <v>476</v>
      </c>
      <c r="C9862" s="2">
        <f>HYPERLINK("https://sao.dolgi.msk.ru/account/1404276809/", 1404276809)</f>
        <v>1404276809</v>
      </c>
      <c r="D9862">
        <v>105998.82</v>
      </c>
    </row>
    <row r="9863" spans="1:4" hidden="1" x14ac:dyDescent="0.25">
      <c r="A9863" t="s">
        <v>694</v>
      </c>
      <c r="B9863" t="s">
        <v>477</v>
      </c>
      <c r="C9863" s="2">
        <f>HYPERLINK("https://sao.dolgi.msk.ru/account/1404277617/", 1404277617)</f>
        <v>1404277617</v>
      </c>
      <c r="D9863">
        <v>-2081.64</v>
      </c>
    </row>
    <row r="9864" spans="1:4" hidden="1" x14ac:dyDescent="0.25">
      <c r="A9864" t="s">
        <v>694</v>
      </c>
      <c r="B9864" t="s">
        <v>478</v>
      </c>
      <c r="C9864" s="2">
        <f>HYPERLINK("https://sao.dolgi.msk.ru/account/1404276016/", 1404276016)</f>
        <v>1404276016</v>
      </c>
      <c r="D9864">
        <v>-2950.2</v>
      </c>
    </row>
    <row r="9865" spans="1:4" hidden="1" x14ac:dyDescent="0.25">
      <c r="A9865" t="s">
        <v>694</v>
      </c>
      <c r="B9865" t="s">
        <v>479</v>
      </c>
      <c r="C9865" s="2">
        <f>HYPERLINK("https://sao.dolgi.msk.ru/account/1404275216/", 1404275216)</f>
        <v>1404275216</v>
      </c>
      <c r="D9865">
        <v>-2324.27</v>
      </c>
    </row>
    <row r="9866" spans="1:4" hidden="1" x14ac:dyDescent="0.25">
      <c r="A9866" t="s">
        <v>694</v>
      </c>
      <c r="B9866" t="s">
        <v>479</v>
      </c>
      <c r="C9866" s="2">
        <f>HYPERLINK("https://sao.dolgi.msk.ru/account/1404276817/", 1404276817)</f>
        <v>1404276817</v>
      </c>
      <c r="D9866">
        <v>-2840.12</v>
      </c>
    </row>
    <row r="9867" spans="1:4" hidden="1" x14ac:dyDescent="0.25">
      <c r="A9867" t="s">
        <v>694</v>
      </c>
      <c r="B9867" t="s">
        <v>480</v>
      </c>
      <c r="C9867" s="2">
        <f>HYPERLINK("https://sao.dolgi.msk.ru/account/1404274504/", 1404274504)</f>
        <v>1404274504</v>
      </c>
      <c r="D9867">
        <v>0</v>
      </c>
    </row>
    <row r="9868" spans="1:4" hidden="1" x14ac:dyDescent="0.25">
      <c r="A9868" t="s">
        <v>694</v>
      </c>
      <c r="B9868" t="s">
        <v>481</v>
      </c>
      <c r="C9868" s="2">
        <f>HYPERLINK("https://sao.dolgi.msk.ru/account/1404275224/", 1404275224)</f>
        <v>1404275224</v>
      </c>
      <c r="D9868">
        <v>-4215.6499999999996</v>
      </c>
    </row>
    <row r="9869" spans="1:4" hidden="1" x14ac:dyDescent="0.25">
      <c r="A9869" t="s">
        <v>694</v>
      </c>
      <c r="B9869" t="s">
        <v>482</v>
      </c>
      <c r="C9869" s="2">
        <f>HYPERLINK("https://sao.dolgi.msk.ru/account/1404278425/", 1404278425)</f>
        <v>1404278425</v>
      </c>
      <c r="D9869">
        <v>-4037.59</v>
      </c>
    </row>
    <row r="9870" spans="1:4" hidden="1" x14ac:dyDescent="0.25">
      <c r="A9870" t="s">
        <v>694</v>
      </c>
      <c r="B9870" t="s">
        <v>483</v>
      </c>
      <c r="C9870" s="2">
        <f>HYPERLINK("https://sao.dolgi.msk.ru/account/1404278433/", 1404278433)</f>
        <v>1404278433</v>
      </c>
      <c r="D9870">
        <v>-138.96</v>
      </c>
    </row>
    <row r="9871" spans="1:4" hidden="1" x14ac:dyDescent="0.25">
      <c r="A9871" t="s">
        <v>694</v>
      </c>
      <c r="B9871" t="s">
        <v>484</v>
      </c>
      <c r="C9871" s="2">
        <f>HYPERLINK("https://sao.dolgi.msk.ru/account/1404273827/", 1404273827)</f>
        <v>1404273827</v>
      </c>
      <c r="D9871">
        <v>0</v>
      </c>
    </row>
    <row r="9872" spans="1:4" hidden="1" x14ac:dyDescent="0.25">
      <c r="A9872" t="s">
        <v>694</v>
      </c>
      <c r="B9872" t="s">
        <v>485</v>
      </c>
      <c r="C9872" s="2">
        <f>HYPERLINK("https://sao.dolgi.msk.ru/account/1404277625/", 1404277625)</f>
        <v>1404277625</v>
      </c>
      <c r="D9872">
        <v>-3860.44</v>
      </c>
    </row>
    <row r="9873" spans="1:4" x14ac:dyDescent="0.25">
      <c r="A9873" t="s">
        <v>694</v>
      </c>
      <c r="B9873" t="s">
        <v>486</v>
      </c>
      <c r="C9873" s="2">
        <f>HYPERLINK("https://sao.dolgi.msk.ru/account/1404273835/", 1404273835)</f>
        <v>1404273835</v>
      </c>
      <c r="D9873">
        <v>20957.18</v>
      </c>
    </row>
    <row r="9874" spans="1:4" hidden="1" x14ac:dyDescent="0.25">
      <c r="A9874" t="s">
        <v>694</v>
      </c>
      <c r="B9874" t="s">
        <v>487</v>
      </c>
      <c r="C9874" s="2">
        <f>HYPERLINK("https://sao.dolgi.msk.ru/account/1404275857/", 1404275857)</f>
        <v>1404275857</v>
      </c>
      <c r="D9874">
        <v>0</v>
      </c>
    </row>
    <row r="9875" spans="1:4" hidden="1" x14ac:dyDescent="0.25">
      <c r="A9875" t="s">
        <v>694</v>
      </c>
      <c r="B9875" t="s">
        <v>488</v>
      </c>
      <c r="C9875" s="2">
        <f>HYPERLINK("https://sao.dolgi.msk.ru/account/1404275865/", 1404275865)</f>
        <v>1404275865</v>
      </c>
      <c r="D9875">
        <v>-1147.29</v>
      </c>
    </row>
    <row r="9876" spans="1:4" hidden="1" x14ac:dyDescent="0.25">
      <c r="A9876" t="s">
        <v>694</v>
      </c>
      <c r="B9876" t="s">
        <v>489</v>
      </c>
      <c r="C9876" s="2">
        <f>HYPERLINK("https://sao.dolgi.msk.ru/account/1404276665/", 1404276665)</f>
        <v>1404276665</v>
      </c>
      <c r="D9876">
        <v>0</v>
      </c>
    </row>
    <row r="9877" spans="1:4" hidden="1" x14ac:dyDescent="0.25">
      <c r="A9877" t="s">
        <v>694</v>
      </c>
      <c r="B9877" t="s">
        <v>490</v>
      </c>
      <c r="C9877" s="2">
        <f>HYPERLINK("https://sao.dolgi.msk.ru/account/1404277561/", 1404277561)</f>
        <v>1404277561</v>
      </c>
      <c r="D9877">
        <v>-3617.08</v>
      </c>
    </row>
    <row r="9878" spans="1:4" x14ac:dyDescent="0.25">
      <c r="A9878" t="s">
        <v>694</v>
      </c>
      <c r="B9878" t="s">
        <v>491</v>
      </c>
      <c r="C9878" s="2">
        <f>HYPERLINK("https://sao.dolgi.msk.ru/account/1404274766/", 1404274766)</f>
        <v>1404274766</v>
      </c>
      <c r="D9878">
        <v>12371.44</v>
      </c>
    </row>
    <row r="9879" spans="1:4" hidden="1" x14ac:dyDescent="0.25">
      <c r="A9879" t="s">
        <v>694</v>
      </c>
      <c r="B9879" t="s">
        <v>491</v>
      </c>
      <c r="C9879" s="2">
        <f>HYPERLINK("https://sao.dolgi.msk.ru/account/1404275873/", 1404275873)</f>
        <v>1404275873</v>
      </c>
      <c r="D9879">
        <v>-2346.3000000000002</v>
      </c>
    </row>
    <row r="9880" spans="1:4" hidden="1" x14ac:dyDescent="0.25">
      <c r="A9880" t="s">
        <v>694</v>
      </c>
      <c r="B9880" t="s">
        <v>491</v>
      </c>
      <c r="C9880" s="2">
        <f>HYPERLINK("https://sao.dolgi.msk.ru/account/1404278951/", 1404278951)</f>
        <v>1404278951</v>
      </c>
      <c r="D9880">
        <v>-3385.47</v>
      </c>
    </row>
    <row r="9881" spans="1:4" hidden="1" x14ac:dyDescent="0.25">
      <c r="A9881" t="s">
        <v>694</v>
      </c>
      <c r="B9881" t="s">
        <v>492</v>
      </c>
      <c r="C9881" s="2">
        <f>HYPERLINK("https://sao.dolgi.msk.ru/account/1404273667/", 1404273667)</f>
        <v>1404273667</v>
      </c>
      <c r="D9881">
        <v>-5920.71</v>
      </c>
    </row>
    <row r="9882" spans="1:4" hidden="1" x14ac:dyDescent="0.25">
      <c r="A9882" t="s">
        <v>694</v>
      </c>
      <c r="B9882" t="s">
        <v>493</v>
      </c>
      <c r="C9882" s="2">
        <f>HYPERLINK("https://sao.dolgi.msk.ru/account/1404275881/", 1404275881)</f>
        <v>1404275881</v>
      </c>
      <c r="D9882">
        <v>0</v>
      </c>
    </row>
    <row r="9883" spans="1:4" hidden="1" x14ac:dyDescent="0.25">
      <c r="A9883" t="s">
        <v>694</v>
      </c>
      <c r="B9883" t="s">
        <v>494</v>
      </c>
      <c r="C9883" s="2">
        <f>HYPERLINK("https://sao.dolgi.msk.ru/account/1404278978/", 1404278978)</f>
        <v>1404278978</v>
      </c>
      <c r="D9883">
        <v>-5570.07</v>
      </c>
    </row>
    <row r="9884" spans="1:4" hidden="1" x14ac:dyDescent="0.25">
      <c r="A9884" t="s">
        <v>694</v>
      </c>
      <c r="B9884" t="s">
        <v>495</v>
      </c>
      <c r="C9884" s="2">
        <f>HYPERLINK("https://sao.dolgi.msk.ru/account/1404277473/", 1404277473)</f>
        <v>1404277473</v>
      </c>
      <c r="D9884">
        <v>-7084.99</v>
      </c>
    </row>
    <row r="9885" spans="1:4" hidden="1" x14ac:dyDescent="0.25">
      <c r="A9885" t="s">
        <v>696</v>
      </c>
      <c r="B9885" t="s">
        <v>5</v>
      </c>
      <c r="C9885" s="2">
        <f>HYPERLINK("https://sao.dolgi.msk.ru/account/1404125824/", 1404125824)</f>
        <v>1404125824</v>
      </c>
      <c r="D9885">
        <v>-3565.69</v>
      </c>
    </row>
    <row r="9886" spans="1:4" hidden="1" x14ac:dyDescent="0.25">
      <c r="A9886" t="s">
        <v>696</v>
      </c>
      <c r="B9886" t="s">
        <v>6</v>
      </c>
      <c r="C9886" s="2">
        <f>HYPERLINK("https://sao.dolgi.msk.ru/account/1404125752/", 1404125752)</f>
        <v>1404125752</v>
      </c>
      <c r="D9886">
        <v>0</v>
      </c>
    </row>
    <row r="9887" spans="1:4" hidden="1" x14ac:dyDescent="0.25">
      <c r="A9887" t="s">
        <v>696</v>
      </c>
      <c r="B9887" t="s">
        <v>7</v>
      </c>
      <c r="C9887" s="2">
        <f>HYPERLINK("https://sao.dolgi.msk.ru/account/1404125867/", 1404125867)</f>
        <v>1404125867</v>
      </c>
      <c r="D9887">
        <v>-2373.0100000000002</v>
      </c>
    </row>
    <row r="9888" spans="1:4" hidden="1" x14ac:dyDescent="0.25">
      <c r="A9888" t="s">
        <v>696</v>
      </c>
      <c r="B9888" t="s">
        <v>8</v>
      </c>
      <c r="C9888" s="2">
        <f>HYPERLINK("https://sao.dolgi.msk.ru/account/1404140071/", 1404140071)</f>
        <v>1404140071</v>
      </c>
      <c r="D9888">
        <v>-4236.42</v>
      </c>
    </row>
    <row r="9889" spans="1:4" hidden="1" x14ac:dyDescent="0.25">
      <c r="A9889" t="s">
        <v>696</v>
      </c>
      <c r="B9889" t="s">
        <v>12</v>
      </c>
      <c r="C9889" s="2">
        <f>HYPERLINK("https://sao.dolgi.msk.ru/account/1404125381/", 1404125381)</f>
        <v>1404125381</v>
      </c>
      <c r="D9889">
        <v>-34116.620000000003</v>
      </c>
    </row>
    <row r="9890" spans="1:4" hidden="1" x14ac:dyDescent="0.25">
      <c r="A9890" t="s">
        <v>696</v>
      </c>
      <c r="B9890" t="s">
        <v>13</v>
      </c>
      <c r="C9890" s="2">
        <f>HYPERLINK("https://sao.dolgi.msk.ru/account/1404125744/", 1404125744)</f>
        <v>1404125744</v>
      </c>
      <c r="D9890">
        <v>0</v>
      </c>
    </row>
    <row r="9891" spans="1:4" hidden="1" x14ac:dyDescent="0.25">
      <c r="A9891" t="s">
        <v>696</v>
      </c>
      <c r="B9891" t="s">
        <v>14</v>
      </c>
      <c r="C9891" s="2">
        <f>HYPERLINK("https://sao.dolgi.msk.ru/account/1404125939/", 1404125939)</f>
        <v>1404125939</v>
      </c>
      <c r="D9891">
        <v>-4498.1899999999996</v>
      </c>
    </row>
    <row r="9892" spans="1:4" hidden="1" x14ac:dyDescent="0.25">
      <c r="A9892" t="s">
        <v>696</v>
      </c>
      <c r="B9892" t="s">
        <v>15</v>
      </c>
      <c r="C9892" s="2">
        <f>HYPERLINK("https://sao.dolgi.msk.ru/account/1404125947/", 1404125947)</f>
        <v>1404125947</v>
      </c>
      <c r="D9892">
        <v>-3729.99</v>
      </c>
    </row>
    <row r="9893" spans="1:4" hidden="1" x14ac:dyDescent="0.25">
      <c r="A9893" t="s">
        <v>696</v>
      </c>
      <c r="B9893" t="s">
        <v>16</v>
      </c>
      <c r="C9893" s="2">
        <f>HYPERLINK("https://sao.dolgi.msk.ru/account/1404125197/", 1404125197)</f>
        <v>1404125197</v>
      </c>
      <c r="D9893">
        <v>-3511.04</v>
      </c>
    </row>
    <row r="9894" spans="1:4" hidden="1" x14ac:dyDescent="0.25">
      <c r="A9894" t="s">
        <v>696</v>
      </c>
      <c r="B9894" t="s">
        <v>17</v>
      </c>
      <c r="C9894" s="2">
        <f>HYPERLINK("https://sao.dolgi.msk.ru/account/1404125402/", 1404125402)</f>
        <v>1404125402</v>
      </c>
      <c r="D9894">
        <v>-2343.59</v>
      </c>
    </row>
    <row r="9895" spans="1:4" hidden="1" x14ac:dyDescent="0.25">
      <c r="A9895" t="s">
        <v>696</v>
      </c>
      <c r="B9895" t="s">
        <v>18</v>
      </c>
      <c r="C9895" s="2">
        <f>HYPERLINK("https://sao.dolgi.msk.ru/account/1404125218/", 1404125218)</f>
        <v>1404125218</v>
      </c>
      <c r="D9895">
        <v>-3235.23</v>
      </c>
    </row>
    <row r="9896" spans="1:4" hidden="1" x14ac:dyDescent="0.25">
      <c r="A9896" t="s">
        <v>696</v>
      </c>
      <c r="B9896" t="s">
        <v>19</v>
      </c>
      <c r="C9896" s="2">
        <f>HYPERLINK("https://sao.dolgi.msk.ru/account/1404125955/", 1404125955)</f>
        <v>1404125955</v>
      </c>
      <c r="D9896">
        <v>-459.37</v>
      </c>
    </row>
    <row r="9897" spans="1:4" x14ac:dyDescent="0.25">
      <c r="A9897" t="s">
        <v>696</v>
      </c>
      <c r="B9897" t="s">
        <v>20</v>
      </c>
      <c r="C9897" s="2">
        <f>HYPERLINK("https://sao.dolgi.msk.ru/account/1404125832/", 1404125832)</f>
        <v>1404125832</v>
      </c>
      <c r="D9897">
        <v>7189.96</v>
      </c>
    </row>
    <row r="9898" spans="1:4" hidden="1" x14ac:dyDescent="0.25">
      <c r="A9898" t="s">
        <v>696</v>
      </c>
      <c r="B9898" t="s">
        <v>21</v>
      </c>
      <c r="C9898" s="2">
        <f>HYPERLINK("https://sao.dolgi.msk.ru/account/1404125429/", 1404125429)</f>
        <v>1404125429</v>
      </c>
      <c r="D9898">
        <v>-9678.2199999999993</v>
      </c>
    </row>
    <row r="9899" spans="1:4" hidden="1" x14ac:dyDescent="0.25">
      <c r="A9899" t="s">
        <v>696</v>
      </c>
      <c r="B9899" t="s">
        <v>22</v>
      </c>
      <c r="C9899" s="2">
        <f>HYPERLINK("https://sao.dolgi.msk.ru/account/1404125648/", 1404125648)</f>
        <v>1404125648</v>
      </c>
      <c r="D9899">
        <v>0</v>
      </c>
    </row>
    <row r="9900" spans="1:4" hidden="1" x14ac:dyDescent="0.25">
      <c r="A9900" t="s">
        <v>696</v>
      </c>
      <c r="B9900" t="s">
        <v>23</v>
      </c>
      <c r="C9900" s="2">
        <f>HYPERLINK("https://sao.dolgi.msk.ru/account/1404125656/", 1404125656)</f>
        <v>1404125656</v>
      </c>
      <c r="D9900">
        <v>-5808.9</v>
      </c>
    </row>
    <row r="9901" spans="1:4" hidden="1" x14ac:dyDescent="0.25">
      <c r="A9901" t="s">
        <v>696</v>
      </c>
      <c r="B9901" t="s">
        <v>24</v>
      </c>
      <c r="C9901" s="2">
        <f>HYPERLINK("https://sao.dolgi.msk.ru/account/1404125664/", 1404125664)</f>
        <v>1404125664</v>
      </c>
      <c r="D9901">
        <v>-3361.24</v>
      </c>
    </row>
    <row r="9902" spans="1:4" hidden="1" x14ac:dyDescent="0.25">
      <c r="A9902" t="s">
        <v>696</v>
      </c>
      <c r="B9902" t="s">
        <v>25</v>
      </c>
      <c r="C9902" s="2">
        <f>HYPERLINK("https://sao.dolgi.msk.ru/account/1404125859/", 1404125859)</f>
        <v>1404125859</v>
      </c>
      <c r="D9902">
        <v>0</v>
      </c>
    </row>
    <row r="9903" spans="1:4" hidden="1" x14ac:dyDescent="0.25">
      <c r="A9903" t="s">
        <v>696</v>
      </c>
      <c r="B9903" t="s">
        <v>26</v>
      </c>
      <c r="C9903" s="2">
        <f>HYPERLINK("https://sao.dolgi.msk.ru/account/1404125293/", 1404125293)</f>
        <v>1404125293</v>
      </c>
      <c r="D9903">
        <v>-326.29000000000002</v>
      </c>
    </row>
    <row r="9904" spans="1:4" hidden="1" x14ac:dyDescent="0.25">
      <c r="A9904" t="s">
        <v>696</v>
      </c>
      <c r="B9904" t="s">
        <v>27</v>
      </c>
      <c r="C9904" s="2">
        <f>HYPERLINK("https://sao.dolgi.msk.ru/account/1404125306/", 1404125306)</f>
        <v>1404125306</v>
      </c>
      <c r="D9904">
        <v>0</v>
      </c>
    </row>
    <row r="9905" spans="1:4" hidden="1" x14ac:dyDescent="0.25">
      <c r="A9905" t="s">
        <v>696</v>
      </c>
      <c r="B9905" t="s">
        <v>28</v>
      </c>
      <c r="C9905" s="2">
        <f>HYPERLINK("https://sao.dolgi.msk.ru/account/1404125437/", 1404125437)</f>
        <v>1404125437</v>
      </c>
      <c r="D9905">
        <v>-4794.79</v>
      </c>
    </row>
    <row r="9906" spans="1:4" hidden="1" x14ac:dyDescent="0.25">
      <c r="A9906" t="s">
        <v>696</v>
      </c>
      <c r="B9906" t="s">
        <v>29</v>
      </c>
      <c r="C9906" s="2">
        <f>HYPERLINK("https://sao.dolgi.msk.ru/account/1404125226/", 1404125226)</f>
        <v>1404125226</v>
      </c>
      <c r="D9906">
        <v>-3704.51</v>
      </c>
    </row>
    <row r="9907" spans="1:4" hidden="1" x14ac:dyDescent="0.25">
      <c r="A9907" t="s">
        <v>696</v>
      </c>
      <c r="B9907" t="s">
        <v>30</v>
      </c>
      <c r="C9907" s="2">
        <f>HYPERLINK("https://sao.dolgi.msk.ru/account/1404125445/", 1404125445)</f>
        <v>1404125445</v>
      </c>
      <c r="D9907">
        <v>-2511.2399999999998</v>
      </c>
    </row>
    <row r="9908" spans="1:4" hidden="1" x14ac:dyDescent="0.25">
      <c r="A9908" t="s">
        <v>696</v>
      </c>
      <c r="B9908" t="s">
        <v>31</v>
      </c>
      <c r="C9908" s="2">
        <f>HYPERLINK("https://sao.dolgi.msk.ru/account/1404125963/", 1404125963)</f>
        <v>1404125963</v>
      </c>
      <c r="D9908">
        <v>-5696.53</v>
      </c>
    </row>
    <row r="9909" spans="1:4" hidden="1" x14ac:dyDescent="0.25">
      <c r="A9909" t="s">
        <v>696</v>
      </c>
      <c r="B9909" t="s">
        <v>32</v>
      </c>
      <c r="C9909" s="2">
        <f>HYPERLINK("https://sao.dolgi.msk.ru/account/1404125576/", 1404125576)</f>
        <v>1404125576</v>
      </c>
      <c r="D9909">
        <v>-199.57</v>
      </c>
    </row>
    <row r="9910" spans="1:4" hidden="1" x14ac:dyDescent="0.25">
      <c r="A9910" t="s">
        <v>696</v>
      </c>
      <c r="B9910" t="s">
        <v>33</v>
      </c>
      <c r="C9910" s="2">
        <f>HYPERLINK("https://sao.dolgi.msk.ru/account/1404125584/", 1404125584)</f>
        <v>1404125584</v>
      </c>
      <c r="D9910">
        <v>-6503.66</v>
      </c>
    </row>
    <row r="9911" spans="1:4" hidden="1" x14ac:dyDescent="0.25">
      <c r="A9911" t="s">
        <v>696</v>
      </c>
      <c r="B9911" t="s">
        <v>34</v>
      </c>
      <c r="C9911" s="2">
        <f>HYPERLINK("https://sao.dolgi.msk.ru/account/1404125875/", 1404125875)</f>
        <v>1404125875</v>
      </c>
      <c r="D9911">
        <v>-5100.2299999999996</v>
      </c>
    </row>
    <row r="9912" spans="1:4" hidden="1" x14ac:dyDescent="0.25">
      <c r="A9912" t="s">
        <v>696</v>
      </c>
      <c r="B9912" t="s">
        <v>35</v>
      </c>
      <c r="C9912" s="2">
        <f>HYPERLINK("https://sao.dolgi.msk.ru/account/1404125453/", 1404125453)</f>
        <v>1404125453</v>
      </c>
      <c r="D9912">
        <v>-767.88</v>
      </c>
    </row>
    <row r="9913" spans="1:4" hidden="1" x14ac:dyDescent="0.25">
      <c r="A9913" t="s">
        <v>696</v>
      </c>
      <c r="B9913" t="s">
        <v>36</v>
      </c>
      <c r="C9913" s="2">
        <f>HYPERLINK("https://sao.dolgi.msk.ru/account/1404125461/", 1404125461)</f>
        <v>1404125461</v>
      </c>
      <c r="D9913">
        <v>-51.2</v>
      </c>
    </row>
    <row r="9914" spans="1:4" hidden="1" x14ac:dyDescent="0.25">
      <c r="A9914" t="s">
        <v>696</v>
      </c>
      <c r="B9914" t="s">
        <v>37</v>
      </c>
      <c r="C9914" s="2">
        <f>HYPERLINK("https://sao.dolgi.msk.ru/account/1404125314/", 1404125314)</f>
        <v>1404125314</v>
      </c>
      <c r="D9914">
        <v>-2425.0500000000002</v>
      </c>
    </row>
    <row r="9915" spans="1:4" hidden="1" x14ac:dyDescent="0.25">
      <c r="A9915" t="s">
        <v>696</v>
      </c>
      <c r="B9915" t="s">
        <v>38</v>
      </c>
      <c r="C9915" s="2">
        <f>HYPERLINK("https://sao.dolgi.msk.ru/account/1404125234/", 1404125234)</f>
        <v>1404125234</v>
      </c>
      <c r="D9915">
        <v>-1510.84</v>
      </c>
    </row>
    <row r="9916" spans="1:4" hidden="1" x14ac:dyDescent="0.25">
      <c r="A9916" t="s">
        <v>696</v>
      </c>
      <c r="B9916" t="s">
        <v>39</v>
      </c>
      <c r="C9916" s="2">
        <f>HYPERLINK("https://sao.dolgi.msk.ru/account/1404125971/", 1404125971)</f>
        <v>1404125971</v>
      </c>
      <c r="D9916">
        <v>-2045.87</v>
      </c>
    </row>
    <row r="9917" spans="1:4" hidden="1" x14ac:dyDescent="0.25">
      <c r="A9917" t="s">
        <v>696</v>
      </c>
      <c r="B9917" t="s">
        <v>40</v>
      </c>
      <c r="C9917" s="2">
        <f>HYPERLINK("https://sao.dolgi.msk.ru/account/1404125672/", 1404125672)</f>
        <v>1404125672</v>
      </c>
      <c r="D9917">
        <v>-5156.29</v>
      </c>
    </row>
    <row r="9918" spans="1:4" hidden="1" x14ac:dyDescent="0.25">
      <c r="A9918" t="s">
        <v>696</v>
      </c>
      <c r="B9918" t="s">
        <v>41</v>
      </c>
      <c r="C9918" s="2">
        <f>HYPERLINK("https://sao.dolgi.msk.ru/account/1404125488/", 1404125488)</f>
        <v>1404125488</v>
      </c>
      <c r="D9918">
        <v>-5562.81</v>
      </c>
    </row>
    <row r="9919" spans="1:4" x14ac:dyDescent="0.25">
      <c r="A9919" t="s">
        <v>696</v>
      </c>
      <c r="B9919" t="s">
        <v>42</v>
      </c>
      <c r="C9919" s="2">
        <f>HYPERLINK("https://sao.dolgi.msk.ru/account/1404125699/", 1404125699)</f>
        <v>1404125699</v>
      </c>
      <c r="D9919">
        <v>4598.91</v>
      </c>
    </row>
    <row r="9920" spans="1:4" hidden="1" x14ac:dyDescent="0.25">
      <c r="A9920" t="s">
        <v>696</v>
      </c>
      <c r="B9920" t="s">
        <v>43</v>
      </c>
      <c r="C9920" s="2">
        <f>HYPERLINK("https://sao.dolgi.msk.ru/account/1404125779/", 1404125779)</f>
        <v>1404125779</v>
      </c>
      <c r="D9920">
        <v>-5269.33</v>
      </c>
    </row>
    <row r="9921" spans="1:4" hidden="1" x14ac:dyDescent="0.25">
      <c r="A9921" t="s">
        <v>696</v>
      </c>
      <c r="B9921" t="s">
        <v>44</v>
      </c>
      <c r="C9921" s="2">
        <f>HYPERLINK("https://sao.dolgi.msk.ru/account/1404125496/", 1404125496)</f>
        <v>1404125496</v>
      </c>
      <c r="D9921">
        <v>-11365.52</v>
      </c>
    </row>
    <row r="9922" spans="1:4" x14ac:dyDescent="0.25">
      <c r="A9922" t="s">
        <v>696</v>
      </c>
      <c r="B9922" t="s">
        <v>45</v>
      </c>
      <c r="C9922" s="2">
        <f>HYPERLINK("https://sao.dolgi.msk.ru/account/1404125322/", 1404125322)</f>
        <v>1404125322</v>
      </c>
      <c r="D9922">
        <v>11063.01</v>
      </c>
    </row>
    <row r="9923" spans="1:4" hidden="1" x14ac:dyDescent="0.25">
      <c r="A9923" t="s">
        <v>696</v>
      </c>
      <c r="B9923" t="s">
        <v>46</v>
      </c>
      <c r="C9923" s="2">
        <f>HYPERLINK("https://sao.dolgi.msk.ru/account/1404125349/", 1404125349)</f>
        <v>1404125349</v>
      </c>
      <c r="D9923">
        <v>-5542.59</v>
      </c>
    </row>
    <row r="9924" spans="1:4" x14ac:dyDescent="0.25">
      <c r="A9924" t="s">
        <v>696</v>
      </c>
      <c r="B9924" t="s">
        <v>47</v>
      </c>
      <c r="C9924" s="2">
        <f>HYPERLINK("https://sao.dolgi.msk.ru/account/1404125701/", 1404125701)</f>
        <v>1404125701</v>
      </c>
      <c r="D9924">
        <v>29326.69</v>
      </c>
    </row>
    <row r="9925" spans="1:4" hidden="1" x14ac:dyDescent="0.25">
      <c r="A9925" t="s">
        <v>696</v>
      </c>
      <c r="B9925" t="s">
        <v>48</v>
      </c>
      <c r="C9925" s="2">
        <f>HYPERLINK("https://sao.dolgi.msk.ru/account/1404125509/", 1404125509)</f>
        <v>1404125509</v>
      </c>
      <c r="D9925">
        <v>0</v>
      </c>
    </row>
    <row r="9926" spans="1:4" hidden="1" x14ac:dyDescent="0.25">
      <c r="A9926" t="s">
        <v>696</v>
      </c>
      <c r="B9926" t="s">
        <v>49</v>
      </c>
      <c r="C9926" s="2">
        <f>HYPERLINK("https://sao.dolgi.msk.ru/account/1404125269/", 1404125269)</f>
        <v>1404125269</v>
      </c>
      <c r="D9926">
        <v>-4860.62</v>
      </c>
    </row>
    <row r="9927" spans="1:4" hidden="1" x14ac:dyDescent="0.25">
      <c r="A9927" t="s">
        <v>696</v>
      </c>
      <c r="B9927" t="s">
        <v>50</v>
      </c>
      <c r="C9927" s="2">
        <f>HYPERLINK("https://sao.dolgi.msk.ru/account/1404125787/", 1404125787)</f>
        <v>1404125787</v>
      </c>
      <c r="D9927">
        <v>0</v>
      </c>
    </row>
    <row r="9928" spans="1:4" hidden="1" x14ac:dyDescent="0.25">
      <c r="A9928" t="s">
        <v>696</v>
      </c>
      <c r="B9928" t="s">
        <v>51</v>
      </c>
      <c r="C9928" s="2">
        <f>HYPERLINK("https://sao.dolgi.msk.ru/account/1404125883/", 1404125883)</f>
        <v>1404125883</v>
      </c>
      <c r="D9928">
        <v>0</v>
      </c>
    </row>
    <row r="9929" spans="1:4" hidden="1" x14ac:dyDescent="0.25">
      <c r="A9929" t="s">
        <v>696</v>
      </c>
      <c r="B9929" t="s">
        <v>52</v>
      </c>
      <c r="C9929" s="2">
        <f>HYPERLINK("https://sao.dolgi.msk.ru/account/1404125592/", 1404125592)</f>
        <v>1404125592</v>
      </c>
      <c r="D9929">
        <v>-4185.6899999999996</v>
      </c>
    </row>
    <row r="9930" spans="1:4" hidden="1" x14ac:dyDescent="0.25">
      <c r="A9930" t="s">
        <v>696</v>
      </c>
      <c r="B9930" t="s">
        <v>53</v>
      </c>
      <c r="C9930" s="2">
        <f>HYPERLINK("https://sao.dolgi.msk.ru/account/1404125517/", 1404125517)</f>
        <v>1404125517</v>
      </c>
      <c r="D9930">
        <v>-820.74</v>
      </c>
    </row>
    <row r="9931" spans="1:4" hidden="1" x14ac:dyDescent="0.25">
      <c r="A9931" t="s">
        <v>696</v>
      </c>
      <c r="B9931" t="s">
        <v>54</v>
      </c>
      <c r="C9931" s="2">
        <f>HYPERLINK("https://sao.dolgi.msk.ru/account/1404125605/", 1404125605)</f>
        <v>1404125605</v>
      </c>
      <c r="D9931">
        <v>-2444.19</v>
      </c>
    </row>
    <row r="9932" spans="1:4" hidden="1" x14ac:dyDescent="0.25">
      <c r="A9932" t="s">
        <v>696</v>
      </c>
      <c r="B9932" t="s">
        <v>55</v>
      </c>
      <c r="C9932" s="2">
        <f>HYPERLINK("https://sao.dolgi.msk.ru/account/1404125277/", 1404125277)</f>
        <v>1404125277</v>
      </c>
      <c r="D9932">
        <v>-230.91</v>
      </c>
    </row>
    <row r="9933" spans="1:4" x14ac:dyDescent="0.25">
      <c r="A9933" t="s">
        <v>696</v>
      </c>
      <c r="B9933" t="s">
        <v>56</v>
      </c>
      <c r="C9933" s="2">
        <f>HYPERLINK("https://sao.dolgi.msk.ru/account/1404125285/", 1404125285)</f>
        <v>1404125285</v>
      </c>
      <c r="D9933">
        <v>604.08000000000004</v>
      </c>
    </row>
    <row r="9934" spans="1:4" hidden="1" x14ac:dyDescent="0.25">
      <c r="A9934" t="s">
        <v>696</v>
      </c>
      <c r="B9934" t="s">
        <v>57</v>
      </c>
      <c r="C9934" s="2">
        <f>HYPERLINK("https://sao.dolgi.msk.ru/account/1404125357/", 1404125357)</f>
        <v>1404125357</v>
      </c>
      <c r="D9934">
        <v>0</v>
      </c>
    </row>
    <row r="9935" spans="1:4" hidden="1" x14ac:dyDescent="0.25">
      <c r="A9935" t="s">
        <v>696</v>
      </c>
      <c r="B9935" t="s">
        <v>58</v>
      </c>
      <c r="C9935" s="2">
        <f>HYPERLINK("https://sao.dolgi.msk.ru/account/1404125728/", 1404125728)</f>
        <v>1404125728</v>
      </c>
      <c r="D9935">
        <v>-4395.57</v>
      </c>
    </row>
    <row r="9936" spans="1:4" hidden="1" x14ac:dyDescent="0.25">
      <c r="A9936" t="s">
        <v>696</v>
      </c>
      <c r="B9936" t="s">
        <v>59</v>
      </c>
      <c r="C9936" s="2">
        <f>HYPERLINK("https://sao.dolgi.msk.ru/account/1404125525/", 1404125525)</f>
        <v>1404125525</v>
      </c>
      <c r="D9936">
        <v>-4221.09</v>
      </c>
    </row>
    <row r="9937" spans="1:4" hidden="1" x14ac:dyDescent="0.25">
      <c r="A9937" t="s">
        <v>696</v>
      </c>
      <c r="B9937" t="s">
        <v>60</v>
      </c>
      <c r="C9937" s="2">
        <f>HYPERLINK("https://sao.dolgi.msk.ru/account/1404125795/", 1404125795)</f>
        <v>1404125795</v>
      </c>
      <c r="D9937">
        <v>-5714.88</v>
      </c>
    </row>
    <row r="9938" spans="1:4" hidden="1" x14ac:dyDescent="0.25">
      <c r="A9938" t="s">
        <v>696</v>
      </c>
      <c r="B9938" t="s">
        <v>61</v>
      </c>
      <c r="C9938" s="2">
        <f>HYPERLINK("https://sao.dolgi.msk.ru/account/1404125613/", 1404125613)</f>
        <v>1404125613</v>
      </c>
      <c r="D9938">
        <v>-3886.07</v>
      </c>
    </row>
    <row r="9939" spans="1:4" hidden="1" x14ac:dyDescent="0.25">
      <c r="A9939" t="s">
        <v>696</v>
      </c>
      <c r="B9939" t="s">
        <v>62</v>
      </c>
      <c r="C9939" s="2">
        <f>HYPERLINK("https://sao.dolgi.msk.ru/account/1404125621/", 1404125621)</f>
        <v>1404125621</v>
      </c>
      <c r="D9939">
        <v>-980.54</v>
      </c>
    </row>
    <row r="9940" spans="1:4" hidden="1" x14ac:dyDescent="0.25">
      <c r="A9940" t="s">
        <v>696</v>
      </c>
      <c r="B9940" t="s">
        <v>63</v>
      </c>
      <c r="C9940" s="2">
        <f>HYPERLINK("https://sao.dolgi.msk.ru/account/1404125998/", 1404125998)</f>
        <v>1404125998</v>
      </c>
      <c r="D9940">
        <v>-276.33</v>
      </c>
    </row>
    <row r="9941" spans="1:4" hidden="1" x14ac:dyDescent="0.25">
      <c r="A9941" t="s">
        <v>696</v>
      </c>
      <c r="B9941" t="s">
        <v>64</v>
      </c>
      <c r="C9941" s="2">
        <f>HYPERLINK("https://sao.dolgi.msk.ru/account/1404125891/", 1404125891)</f>
        <v>1404125891</v>
      </c>
      <c r="D9941">
        <v>0</v>
      </c>
    </row>
    <row r="9942" spans="1:4" hidden="1" x14ac:dyDescent="0.25">
      <c r="A9942" t="s">
        <v>696</v>
      </c>
      <c r="B9942" t="s">
        <v>65</v>
      </c>
      <c r="C9942" s="2">
        <f>HYPERLINK("https://sao.dolgi.msk.ru/account/1404126018/", 1404126018)</f>
        <v>1404126018</v>
      </c>
      <c r="D9942">
        <v>0</v>
      </c>
    </row>
    <row r="9943" spans="1:4" hidden="1" x14ac:dyDescent="0.25">
      <c r="A9943" t="s">
        <v>696</v>
      </c>
      <c r="B9943" t="s">
        <v>66</v>
      </c>
      <c r="C9943" s="2">
        <f>HYPERLINK("https://sao.dolgi.msk.ru/account/1404125904/", 1404125904)</f>
        <v>1404125904</v>
      </c>
      <c r="D9943">
        <v>-5180.9799999999996</v>
      </c>
    </row>
    <row r="9944" spans="1:4" hidden="1" x14ac:dyDescent="0.25">
      <c r="A9944" t="s">
        <v>696</v>
      </c>
      <c r="B9944" t="s">
        <v>67</v>
      </c>
      <c r="C9944" s="2">
        <f>HYPERLINK("https://sao.dolgi.msk.ru/account/1404125912/", 1404125912)</f>
        <v>1404125912</v>
      </c>
      <c r="D9944">
        <v>-2310.7199999999998</v>
      </c>
    </row>
    <row r="9945" spans="1:4" hidden="1" x14ac:dyDescent="0.25">
      <c r="A9945" t="s">
        <v>696</v>
      </c>
      <c r="B9945" t="s">
        <v>68</v>
      </c>
      <c r="C9945" s="2">
        <f>HYPERLINK("https://sao.dolgi.msk.ru/account/1404126026/", 1404126026)</f>
        <v>1404126026</v>
      </c>
      <c r="D9945">
        <v>-388.09</v>
      </c>
    </row>
    <row r="9946" spans="1:4" hidden="1" x14ac:dyDescent="0.25">
      <c r="A9946" t="s">
        <v>696</v>
      </c>
      <c r="B9946" t="s">
        <v>69</v>
      </c>
      <c r="C9946" s="2">
        <f>HYPERLINK("https://sao.dolgi.msk.ru/account/1404125365/", 1404125365)</f>
        <v>1404125365</v>
      </c>
      <c r="D9946">
        <v>-3703.15</v>
      </c>
    </row>
    <row r="9947" spans="1:4" hidden="1" x14ac:dyDescent="0.25">
      <c r="A9947" t="s">
        <v>696</v>
      </c>
      <c r="B9947" t="s">
        <v>70</v>
      </c>
      <c r="C9947" s="2">
        <f>HYPERLINK("https://sao.dolgi.msk.ru/account/1404125533/", 1404125533)</f>
        <v>1404125533</v>
      </c>
      <c r="D9947">
        <v>-2770.4</v>
      </c>
    </row>
    <row r="9948" spans="1:4" hidden="1" x14ac:dyDescent="0.25">
      <c r="A9948" t="s">
        <v>696</v>
      </c>
      <c r="B9948" t="s">
        <v>71</v>
      </c>
      <c r="C9948" s="2">
        <f>HYPERLINK("https://sao.dolgi.msk.ru/account/1404125808/", 1404125808)</f>
        <v>1404125808</v>
      </c>
      <c r="D9948">
        <v>-544.54</v>
      </c>
    </row>
    <row r="9949" spans="1:4" hidden="1" x14ac:dyDescent="0.25">
      <c r="A9949" t="s">
        <v>696</v>
      </c>
      <c r="B9949" t="s">
        <v>71</v>
      </c>
      <c r="C9949" s="2">
        <f>HYPERLINK("https://sao.dolgi.msk.ru/account/1404126034/", 1404126034)</f>
        <v>1404126034</v>
      </c>
      <c r="D9949">
        <v>-1383.52</v>
      </c>
    </row>
    <row r="9950" spans="1:4" x14ac:dyDescent="0.25">
      <c r="A9950" t="s">
        <v>696</v>
      </c>
      <c r="B9950" t="s">
        <v>72</v>
      </c>
      <c r="C9950" s="2">
        <f>HYPERLINK("https://sao.dolgi.msk.ru/account/1404125736/", 1404125736)</f>
        <v>1404125736</v>
      </c>
      <c r="D9950">
        <v>154954.37</v>
      </c>
    </row>
    <row r="9951" spans="1:4" hidden="1" x14ac:dyDescent="0.25">
      <c r="A9951" t="s">
        <v>696</v>
      </c>
      <c r="B9951" t="s">
        <v>73</v>
      </c>
      <c r="C9951" s="2">
        <f>HYPERLINK("https://sao.dolgi.msk.ru/account/1404125373/", 1404125373)</f>
        <v>1404125373</v>
      </c>
      <c r="D9951">
        <v>-5884.38</v>
      </c>
    </row>
    <row r="9952" spans="1:4" hidden="1" x14ac:dyDescent="0.25">
      <c r="A9952" t="s">
        <v>696</v>
      </c>
      <c r="B9952" t="s">
        <v>74</v>
      </c>
      <c r="C9952" s="2">
        <f>HYPERLINK("https://sao.dolgi.msk.ru/account/1404125541/", 1404125541)</f>
        <v>1404125541</v>
      </c>
      <c r="D9952">
        <v>-1219.9000000000001</v>
      </c>
    </row>
    <row r="9953" spans="1:4" hidden="1" x14ac:dyDescent="0.25">
      <c r="A9953" t="s">
        <v>696</v>
      </c>
      <c r="B9953" t="s">
        <v>75</v>
      </c>
      <c r="C9953" s="2">
        <f>HYPERLINK("https://sao.dolgi.msk.ru/account/1404125568/", 1404125568)</f>
        <v>1404125568</v>
      </c>
      <c r="D9953">
        <v>-4975.13</v>
      </c>
    </row>
    <row r="9954" spans="1:4" hidden="1" x14ac:dyDescent="0.25">
      <c r="A9954" t="s">
        <v>696</v>
      </c>
      <c r="B9954" t="s">
        <v>76</v>
      </c>
      <c r="C9954" s="2">
        <f>HYPERLINK("https://sao.dolgi.msk.ru/account/1404125816/", 1404125816)</f>
        <v>1404125816</v>
      </c>
      <c r="D9954">
        <v>0</v>
      </c>
    </row>
    <row r="9955" spans="1:4" hidden="1" x14ac:dyDescent="0.25">
      <c r="A9955" t="s">
        <v>697</v>
      </c>
      <c r="B9955" t="s">
        <v>5</v>
      </c>
      <c r="C9955" s="2">
        <f>HYPERLINK("https://sao.dolgi.msk.ru/account/1404126309/", 1404126309)</f>
        <v>1404126309</v>
      </c>
      <c r="D9955">
        <v>-5294.67</v>
      </c>
    </row>
    <row r="9956" spans="1:4" hidden="1" x14ac:dyDescent="0.25">
      <c r="A9956" t="s">
        <v>697</v>
      </c>
      <c r="B9956" t="s">
        <v>6</v>
      </c>
      <c r="C9956" s="2">
        <f>HYPERLINK("https://sao.dolgi.msk.ru/account/1404126077/", 1404126077)</f>
        <v>1404126077</v>
      </c>
      <c r="D9956">
        <v>0</v>
      </c>
    </row>
    <row r="9957" spans="1:4" hidden="1" x14ac:dyDescent="0.25">
      <c r="A9957" t="s">
        <v>697</v>
      </c>
      <c r="B9957" t="s">
        <v>7</v>
      </c>
      <c r="C9957" s="2">
        <f>HYPERLINK("https://sao.dolgi.msk.ru/account/1404126106/", 1404126106)</f>
        <v>1404126106</v>
      </c>
      <c r="D9957">
        <v>-4221.79</v>
      </c>
    </row>
    <row r="9958" spans="1:4" x14ac:dyDescent="0.25">
      <c r="A9958" t="s">
        <v>697</v>
      </c>
      <c r="B9958" t="s">
        <v>8</v>
      </c>
      <c r="C9958" s="2">
        <f>HYPERLINK("https://sao.dolgi.msk.ru/account/1404126333/", 1404126333)</f>
        <v>1404126333</v>
      </c>
      <c r="D9958">
        <v>14881.19</v>
      </c>
    </row>
    <row r="9959" spans="1:4" hidden="1" x14ac:dyDescent="0.25">
      <c r="A9959" t="s">
        <v>697</v>
      </c>
      <c r="B9959" t="s">
        <v>9</v>
      </c>
      <c r="C9959" s="2">
        <f>HYPERLINK("https://sao.dolgi.msk.ru/account/1404126245/", 1404126245)</f>
        <v>1404126245</v>
      </c>
      <c r="D9959">
        <v>-4810.8</v>
      </c>
    </row>
    <row r="9960" spans="1:4" hidden="1" x14ac:dyDescent="0.25">
      <c r="A9960" t="s">
        <v>697</v>
      </c>
      <c r="B9960" t="s">
        <v>10</v>
      </c>
      <c r="C9960" s="2">
        <f>HYPERLINK("https://sao.dolgi.msk.ru/account/1404126368/", 1404126368)</f>
        <v>1404126368</v>
      </c>
      <c r="D9960">
        <v>0</v>
      </c>
    </row>
    <row r="9961" spans="1:4" hidden="1" x14ac:dyDescent="0.25">
      <c r="A9961" t="s">
        <v>697</v>
      </c>
      <c r="B9961" t="s">
        <v>11</v>
      </c>
      <c r="C9961" s="2">
        <f>HYPERLINK("https://sao.dolgi.msk.ru/account/1404126616/", 1404126616)</f>
        <v>1404126616</v>
      </c>
      <c r="D9961">
        <v>0</v>
      </c>
    </row>
    <row r="9962" spans="1:4" hidden="1" x14ac:dyDescent="0.25">
      <c r="A9962" t="s">
        <v>697</v>
      </c>
      <c r="B9962" t="s">
        <v>12</v>
      </c>
      <c r="C9962" s="2">
        <f>HYPERLINK("https://sao.dolgi.msk.ru/account/1404126747/", 1404126747)</f>
        <v>1404126747</v>
      </c>
      <c r="D9962">
        <v>-2634.46</v>
      </c>
    </row>
    <row r="9963" spans="1:4" hidden="1" x14ac:dyDescent="0.25">
      <c r="A9963" t="s">
        <v>697</v>
      </c>
      <c r="B9963" t="s">
        <v>13</v>
      </c>
      <c r="C9963" s="2">
        <f>HYPERLINK("https://sao.dolgi.msk.ru/account/1404126173/", 1404126173)</f>
        <v>1404126173</v>
      </c>
      <c r="D9963">
        <v>-1162.3399999999999</v>
      </c>
    </row>
    <row r="9964" spans="1:4" x14ac:dyDescent="0.25">
      <c r="A9964" t="s">
        <v>697</v>
      </c>
      <c r="B9964" t="s">
        <v>14</v>
      </c>
      <c r="C9964" s="2">
        <f>HYPERLINK("https://sao.dolgi.msk.ru/account/1404126659/", 1404126659)</f>
        <v>1404126659</v>
      </c>
      <c r="D9964">
        <v>7579.86</v>
      </c>
    </row>
    <row r="9965" spans="1:4" hidden="1" x14ac:dyDescent="0.25">
      <c r="A9965" t="s">
        <v>697</v>
      </c>
      <c r="B9965" t="s">
        <v>15</v>
      </c>
      <c r="C9965" s="2">
        <f>HYPERLINK("https://sao.dolgi.msk.ru/account/1404126501/", 1404126501)</f>
        <v>1404126501</v>
      </c>
      <c r="D9965">
        <v>-267.58</v>
      </c>
    </row>
    <row r="9966" spans="1:4" x14ac:dyDescent="0.25">
      <c r="A9966" t="s">
        <v>697</v>
      </c>
      <c r="B9966" t="s">
        <v>16</v>
      </c>
      <c r="C9966" s="2">
        <f>HYPERLINK("https://sao.dolgi.msk.ru/account/1404126042/", 1404126042)</f>
        <v>1404126042</v>
      </c>
      <c r="D9966">
        <v>6573.23</v>
      </c>
    </row>
    <row r="9967" spans="1:4" x14ac:dyDescent="0.25">
      <c r="A9967" t="s">
        <v>697</v>
      </c>
      <c r="B9967" t="s">
        <v>17</v>
      </c>
      <c r="C9967" s="2">
        <f>HYPERLINK("https://sao.dolgi.msk.ru/account/1404126667/", 1404126667)</f>
        <v>1404126667</v>
      </c>
      <c r="D9967">
        <v>7114.49</v>
      </c>
    </row>
    <row r="9968" spans="1:4" hidden="1" x14ac:dyDescent="0.25">
      <c r="A9968" t="s">
        <v>697</v>
      </c>
      <c r="B9968" t="s">
        <v>18</v>
      </c>
      <c r="C9968" s="2">
        <f>HYPERLINK("https://sao.dolgi.msk.ru/account/1404126675/", 1404126675)</f>
        <v>1404126675</v>
      </c>
      <c r="D9968">
        <v>-2967.08</v>
      </c>
    </row>
    <row r="9969" spans="1:4" hidden="1" x14ac:dyDescent="0.25">
      <c r="A9969" t="s">
        <v>697</v>
      </c>
      <c r="B9969" t="s">
        <v>19</v>
      </c>
      <c r="C9969" s="2">
        <f>HYPERLINK("https://sao.dolgi.msk.ru/account/1404126181/", 1404126181)</f>
        <v>1404126181</v>
      </c>
      <c r="D9969">
        <v>-4191.76</v>
      </c>
    </row>
    <row r="9970" spans="1:4" hidden="1" x14ac:dyDescent="0.25">
      <c r="A9970" t="s">
        <v>697</v>
      </c>
      <c r="B9970" t="s">
        <v>20</v>
      </c>
      <c r="C9970" s="2">
        <f>HYPERLINK("https://sao.dolgi.msk.ru/account/1404126755/", 1404126755)</f>
        <v>1404126755</v>
      </c>
      <c r="D9970">
        <v>-4778.2</v>
      </c>
    </row>
    <row r="9971" spans="1:4" x14ac:dyDescent="0.25">
      <c r="A9971" t="s">
        <v>697</v>
      </c>
      <c r="B9971" t="s">
        <v>21</v>
      </c>
      <c r="C9971" s="2">
        <f>HYPERLINK("https://sao.dolgi.msk.ru/account/1404126069/", 1404126069)</f>
        <v>1404126069</v>
      </c>
      <c r="D9971">
        <v>182147.98</v>
      </c>
    </row>
    <row r="9972" spans="1:4" hidden="1" x14ac:dyDescent="0.25">
      <c r="A9972" t="s">
        <v>697</v>
      </c>
      <c r="B9972" t="s">
        <v>22</v>
      </c>
      <c r="C9972" s="2">
        <f>HYPERLINK("https://sao.dolgi.msk.ru/account/1404126763/", 1404126763)</f>
        <v>1404126763</v>
      </c>
      <c r="D9972">
        <v>0</v>
      </c>
    </row>
    <row r="9973" spans="1:4" hidden="1" x14ac:dyDescent="0.25">
      <c r="A9973" t="s">
        <v>697</v>
      </c>
      <c r="B9973" t="s">
        <v>23</v>
      </c>
      <c r="C9973" s="2">
        <f>HYPERLINK("https://sao.dolgi.msk.ru/account/1404126376/", 1404126376)</f>
        <v>1404126376</v>
      </c>
      <c r="D9973">
        <v>-1412.4</v>
      </c>
    </row>
    <row r="9974" spans="1:4" x14ac:dyDescent="0.25">
      <c r="A9974" t="s">
        <v>697</v>
      </c>
      <c r="B9974" t="s">
        <v>24</v>
      </c>
      <c r="C9974" s="2">
        <f>HYPERLINK("https://sao.dolgi.msk.ru/account/1404126771/", 1404126771)</f>
        <v>1404126771</v>
      </c>
      <c r="D9974">
        <v>3617.91</v>
      </c>
    </row>
    <row r="9975" spans="1:4" hidden="1" x14ac:dyDescent="0.25">
      <c r="A9975" t="s">
        <v>697</v>
      </c>
      <c r="B9975" t="s">
        <v>25</v>
      </c>
      <c r="C9975" s="2">
        <f>HYPERLINK("https://sao.dolgi.msk.ru/account/1404126085/", 1404126085)</f>
        <v>1404126085</v>
      </c>
      <c r="D9975">
        <v>0</v>
      </c>
    </row>
    <row r="9976" spans="1:4" hidden="1" x14ac:dyDescent="0.25">
      <c r="A9976" t="s">
        <v>697</v>
      </c>
      <c r="B9976" t="s">
        <v>26</v>
      </c>
      <c r="C9976" s="2">
        <f>HYPERLINK("https://sao.dolgi.msk.ru/account/1404126384/", 1404126384)</f>
        <v>1404126384</v>
      </c>
      <c r="D9976">
        <v>-787.77</v>
      </c>
    </row>
    <row r="9977" spans="1:4" hidden="1" x14ac:dyDescent="0.25">
      <c r="A9977" t="s">
        <v>697</v>
      </c>
      <c r="B9977" t="s">
        <v>27</v>
      </c>
      <c r="C9977" s="2">
        <f>HYPERLINK("https://sao.dolgi.msk.ru/account/1404126093/", 1404126093)</f>
        <v>1404126093</v>
      </c>
      <c r="D9977">
        <v>-3169.75</v>
      </c>
    </row>
    <row r="9978" spans="1:4" hidden="1" x14ac:dyDescent="0.25">
      <c r="A9978" t="s">
        <v>697</v>
      </c>
      <c r="B9978" t="s">
        <v>28</v>
      </c>
      <c r="C9978" s="2">
        <f>HYPERLINK("https://sao.dolgi.msk.ru/account/1404126798/", 1404126798)</f>
        <v>1404126798</v>
      </c>
      <c r="D9978">
        <v>-4370.38</v>
      </c>
    </row>
    <row r="9979" spans="1:4" hidden="1" x14ac:dyDescent="0.25">
      <c r="A9979" t="s">
        <v>697</v>
      </c>
      <c r="B9979" t="s">
        <v>29</v>
      </c>
      <c r="C9979" s="2">
        <f>HYPERLINK("https://sao.dolgi.msk.ru/account/1404126683/", 1404126683)</f>
        <v>1404126683</v>
      </c>
      <c r="D9979">
        <v>-4701.57</v>
      </c>
    </row>
    <row r="9980" spans="1:4" x14ac:dyDescent="0.25">
      <c r="A9980" t="s">
        <v>697</v>
      </c>
      <c r="B9980" t="s">
        <v>30</v>
      </c>
      <c r="C9980" s="2">
        <f>HYPERLINK("https://sao.dolgi.msk.ru/account/1404126691/", 1404126691)</f>
        <v>1404126691</v>
      </c>
      <c r="D9980">
        <v>2391.25</v>
      </c>
    </row>
    <row r="9981" spans="1:4" hidden="1" x14ac:dyDescent="0.25">
      <c r="A9981" t="s">
        <v>697</v>
      </c>
      <c r="B9981" t="s">
        <v>31</v>
      </c>
      <c r="C9981" s="2">
        <f>HYPERLINK("https://sao.dolgi.msk.ru/account/1404126392/", 1404126392)</f>
        <v>1404126392</v>
      </c>
      <c r="D9981">
        <v>-3399.92</v>
      </c>
    </row>
    <row r="9982" spans="1:4" hidden="1" x14ac:dyDescent="0.25">
      <c r="A9982" t="s">
        <v>697</v>
      </c>
      <c r="B9982" t="s">
        <v>32</v>
      </c>
      <c r="C9982" s="2">
        <f>HYPERLINK("https://sao.dolgi.msk.ru/account/1404126528/", 1404126528)</f>
        <v>1404126528</v>
      </c>
      <c r="D9982">
        <v>-3546.92</v>
      </c>
    </row>
    <row r="9983" spans="1:4" hidden="1" x14ac:dyDescent="0.25">
      <c r="A9983" t="s">
        <v>697</v>
      </c>
      <c r="B9983" t="s">
        <v>33</v>
      </c>
      <c r="C9983" s="2">
        <f>HYPERLINK("https://sao.dolgi.msk.ru/account/1404126819/", 1404126819)</f>
        <v>1404126819</v>
      </c>
      <c r="D9983">
        <v>-6035.82</v>
      </c>
    </row>
    <row r="9984" spans="1:4" hidden="1" x14ac:dyDescent="0.25">
      <c r="A9984" t="s">
        <v>697</v>
      </c>
      <c r="B9984" t="s">
        <v>34</v>
      </c>
      <c r="C9984" s="2">
        <f>HYPERLINK("https://sao.dolgi.msk.ru/account/1404126827/", 1404126827)</f>
        <v>1404126827</v>
      </c>
      <c r="D9984">
        <v>-4202.9799999999996</v>
      </c>
    </row>
    <row r="9985" spans="1:4" hidden="1" x14ac:dyDescent="0.25">
      <c r="A9985" t="s">
        <v>697</v>
      </c>
      <c r="B9985" t="s">
        <v>35</v>
      </c>
      <c r="C9985" s="2">
        <f>HYPERLINK("https://sao.dolgi.msk.ru/account/1404126317/", 1404126317)</f>
        <v>1404126317</v>
      </c>
      <c r="D9985">
        <v>0</v>
      </c>
    </row>
    <row r="9986" spans="1:4" hidden="1" x14ac:dyDescent="0.25">
      <c r="A9986" t="s">
        <v>697</v>
      </c>
      <c r="B9986" t="s">
        <v>36</v>
      </c>
      <c r="C9986" s="2">
        <f>HYPERLINK("https://sao.dolgi.msk.ru/account/1404126552/", 1404126552)</f>
        <v>1404126552</v>
      </c>
      <c r="D9986">
        <v>-6681.53</v>
      </c>
    </row>
    <row r="9987" spans="1:4" hidden="1" x14ac:dyDescent="0.25">
      <c r="A9987" t="s">
        <v>697</v>
      </c>
      <c r="B9987" t="s">
        <v>37</v>
      </c>
      <c r="C9987" s="2">
        <f>HYPERLINK("https://sao.dolgi.msk.ru/account/1404126704/", 1404126704)</f>
        <v>1404126704</v>
      </c>
      <c r="D9987">
        <v>-4275.29</v>
      </c>
    </row>
    <row r="9988" spans="1:4" hidden="1" x14ac:dyDescent="0.25">
      <c r="A9988" t="s">
        <v>697</v>
      </c>
      <c r="B9988" t="s">
        <v>38</v>
      </c>
      <c r="C9988" s="2">
        <f>HYPERLINK("https://sao.dolgi.msk.ru/account/1404126114/", 1404126114)</f>
        <v>1404126114</v>
      </c>
      <c r="D9988">
        <v>-4808.91</v>
      </c>
    </row>
    <row r="9989" spans="1:4" hidden="1" x14ac:dyDescent="0.25">
      <c r="A9989" t="s">
        <v>697</v>
      </c>
      <c r="B9989" t="s">
        <v>39</v>
      </c>
      <c r="C9989" s="2">
        <f>HYPERLINK("https://sao.dolgi.msk.ru/account/1404126202/", 1404126202)</f>
        <v>1404126202</v>
      </c>
      <c r="D9989">
        <v>-2690.75</v>
      </c>
    </row>
    <row r="9990" spans="1:4" x14ac:dyDescent="0.25">
      <c r="A9990" t="s">
        <v>697</v>
      </c>
      <c r="B9990" t="s">
        <v>40</v>
      </c>
      <c r="C9990" s="2">
        <f>HYPERLINK("https://sao.dolgi.msk.ru/account/1404126325/", 1404126325)</f>
        <v>1404126325</v>
      </c>
      <c r="D9990">
        <v>3365.6</v>
      </c>
    </row>
    <row r="9991" spans="1:4" hidden="1" x14ac:dyDescent="0.25">
      <c r="A9991" t="s">
        <v>697</v>
      </c>
      <c r="B9991" t="s">
        <v>41</v>
      </c>
      <c r="C9991" s="2">
        <f>HYPERLINK("https://sao.dolgi.msk.ru/account/1404126536/", 1404126536)</f>
        <v>1404126536</v>
      </c>
      <c r="D9991">
        <v>-1524.42</v>
      </c>
    </row>
    <row r="9992" spans="1:4" hidden="1" x14ac:dyDescent="0.25">
      <c r="A9992" t="s">
        <v>697</v>
      </c>
      <c r="B9992" t="s">
        <v>42</v>
      </c>
      <c r="C9992" s="2">
        <f>HYPERLINK("https://sao.dolgi.msk.ru/account/1404126835/", 1404126835)</f>
        <v>1404126835</v>
      </c>
      <c r="D9992">
        <v>-2357.0500000000002</v>
      </c>
    </row>
    <row r="9993" spans="1:4" hidden="1" x14ac:dyDescent="0.25">
      <c r="A9993" t="s">
        <v>697</v>
      </c>
      <c r="B9993" t="s">
        <v>43</v>
      </c>
      <c r="C9993" s="2">
        <f>HYPERLINK("https://sao.dolgi.msk.ru/account/1404126122/", 1404126122)</f>
        <v>1404126122</v>
      </c>
      <c r="D9993">
        <v>-5311.89</v>
      </c>
    </row>
    <row r="9994" spans="1:4" x14ac:dyDescent="0.25">
      <c r="A9994" t="s">
        <v>697</v>
      </c>
      <c r="B9994" t="s">
        <v>44</v>
      </c>
      <c r="C9994" s="2">
        <f>HYPERLINK("https://sao.dolgi.msk.ru/account/1404126405/", 1404126405)</f>
        <v>1404126405</v>
      </c>
      <c r="D9994">
        <v>92285.27</v>
      </c>
    </row>
    <row r="9995" spans="1:4" hidden="1" x14ac:dyDescent="0.25">
      <c r="A9995" t="s">
        <v>697</v>
      </c>
      <c r="B9995" t="s">
        <v>45</v>
      </c>
      <c r="C9995" s="2">
        <f>HYPERLINK("https://sao.dolgi.msk.ru/account/1404126413/", 1404126413)</f>
        <v>1404126413</v>
      </c>
      <c r="D9995">
        <v>-3864.57</v>
      </c>
    </row>
    <row r="9996" spans="1:4" hidden="1" x14ac:dyDescent="0.25">
      <c r="A9996" t="s">
        <v>697</v>
      </c>
      <c r="B9996" t="s">
        <v>46</v>
      </c>
      <c r="C9996" s="2">
        <f>HYPERLINK("https://sao.dolgi.msk.ru/account/1404126843/", 1404126843)</f>
        <v>1404126843</v>
      </c>
      <c r="D9996">
        <v>-5834</v>
      </c>
    </row>
    <row r="9997" spans="1:4" hidden="1" x14ac:dyDescent="0.25">
      <c r="A9997" t="s">
        <v>697</v>
      </c>
      <c r="B9997" t="s">
        <v>47</v>
      </c>
      <c r="C9997" s="2">
        <f>HYPERLINK("https://sao.dolgi.msk.ru/account/1404126544/", 1404126544)</f>
        <v>1404126544</v>
      </c>
      <c r="D9997">
        <v>-5867.77</v>
      </c>
    </row>
    <row r="9998" spans="1:4" hidden="1" x14ac:dyDescent="0.25">
      <c r="A9998" t="s">
        <v>697</v>
      </c>
      <c r="B9998" t="s">
        <v>48</v>
      </c>
      <c r="C9998" s="2">
        <f>HYPERLINK("https://sao.dolgi.msk.ru/account/1404126421/", 1404126421)</f>
        <v>1404126421</v>
      </c>
      <c r="D9998">
        <v>-2346.52</v>
      </c>
    </row>
    <row r="9999" spans="1:4" x14ac:dyDescent="0.25">
      <c r="A9999" t="s">
        <v>697</v>
      </c>
      <c r="B9999" t="s">
        <v>49</v>
      </c>
      <c r="C9999" s="2">
        <f>HYPERLINK("https://sao.dolgi.msk.ru/account/1404126579/", 1404126579)</f>
        <v>1404126579</v>
      </c>
      <c r="D9999">
        <v>15438.07</v>
      </c>
    </row>
    <row r="10000" spans="1:4" hidden="1" x14ac:dyDescent="0.25">
      <c r="A10000" t="s">
        <v>697</v>
      </c>
      <c r="B10000" t="s">
        <v>50</v>
      </c>
      <c r="C10000" s="2">
        <f>HYPERLINK("https://sao.dolgi.msk.ru/account/1404126587/", 1404126587)</f>
        <v>1404126587</v>
      </c>
      <c r="D10000">
        <v>0</v>
      </c>
    </row>
    <row r="10001" spans="1:4" hidden="1" x14ac:dyDescent="0.25">
      <c r="A10001" t="s">
        <v>697</v>
      </c>
      <c r="B10001" t="s">
        <v>51</v>
      </c>
      <c r="C10001" s="2">
        <f>HYPERLINK("https://sao.dolgi.msk.ru/account/1404126229/", 1404126229)</f>
        <v>1404126229</v>
      </c>
      <c r="D10001">
        <v>-4308.21</v>
      </c>
    </row>
    <row r="10002" spans="1:4" hidden="1" x14ac:dyDescent="0.25">
      <c r="A10002" t="s">
        <v>697</v>
      </c>
      <c r="B10002" t="s">
        <v>52</v>
      </c>
      <c r="C10002" s="2">
        <f>HYPERLINK("https://sao.dolgi.msk.ru/account/1404126237/", 1404126237)</f>
        <v>1404126237</v>
      </c>
      <c r="D10002">
        <v>-3608.51</v>
      </c>
    </row>
    <row r="10003" spans="1:4" hidden="1" x14ac:dyDescent="0.25">
      <c r="A10003" t="s">
        <v>697</v>
      </c>
      <c r="B10003" t="s">
        <v>53</v>
      </c>
      <c r="C10003" s="2">
        <f>HYPERLINK("https://sao.dolgi.msk.ru/account/1404126149/", 1404126149)</f>
        <v>1404126149</v>
      </c>
      <c r="D10003">
        <v>-4223.97</v>
      </c>
    </row>
    <row r="10004" spans="1:4" hidden="1" x14ac:dyDescent="0.25">
      <c r="A10004" t="s">
        <v>697</v>
      </c>
      <c r="B10004" t="s">
        <v>54</v>
      </c>
      <c r="C10004" s="2">
        <f>HYPERLINK("https://sao.dolgi.msk.ru/account/1404126157/", 1404126157)</f>
        <v>1404126157</v>
      </c>
      <c r="D10004">
        <v>0</v>
      </c>
    </row>
    <row r="10005" spans="1:4" hidden="1" x14ac:dyDescent="0.25">
      <c r="A10005" t="s">
        <v>697</v>
      </c>
      <c r="B10005" t="s">
        <v>55</v>
      </c>
      <c r="C10005" s="2">
        <f>HYPERLINK("https://sao.dolgi.msk.ru/account/1404126595/", 1404126595)</f>
        <v>1404126595</v>
      </c>
      <c r="D10005">
        <v>-2268.61</v>
      </c>
    </row>
    <row r="10006" spans="1:4" hidden="1" x14ac:dyDescent="0.25">
      <c r="A10006" t="s">
        <v>697</v>
      </c>
      <c r="B10006" t="s">
        <v>56</v>
      </c>
      <c r="C10006" s="2">
        <f>HYPERLINK("https://sao.dolgi.msk.ru/account/1404126712/", 1404126712)</f>
        <v>1404126712</v>
      </c>
      <c r="D10006">
        <v>-3784.22</v>
      </c>
    </row>
    <row r="10007" spans="1:4" hidden="1" x14ac:dyDescent="0.25">
      <c r="A10007" t="s">
        <v>697</v>
      </c>
      <c r="B10007" t="s">
        <v>57</v>
      </c>
      <c r="C10007" s="2">
        <f>HYPERLINK("https://sao.dolgi.msk.ru/account/1404126253/", 1404126253)</f>
        <v>1404126253</v>
      </c>
      <c r="D10007">
        <v>-4738.26</v>
      </c>
    </row>
    <row r="10008" spans="1:4" hidden="1" x14ac:dyDescent="0.25">
      <c r="A10008" t="s">
        <v>697</v>
      </c>
      <c r="B10008" t="s">
        <v>58</v>
      </c>
      <c r="C10008" s="2">
        <f>HYPERLINK("https://sao.dolgi.msk.ru/account/1404126341/", 1404126341)</f>
        <v>1404126341</v>
      </c>
      <c r="D10008">
        <v>-4903.46</v>
      </c>
    </row>
    <row r="10009" spans="1:4" x14ac:dyDescent="0.25">
      <c r="A10009" t="s">
        <v>697</v>
      </c>
      <c r="B10009" t="s">
        <v>59</v>
      </c>
      <c r="C10009" s="2">
        <f>HYPERLINK("https://sao.dolgi.msk.ru/account/1404126261/", 1404126261)</f>
        <v>1404126261</v>
      </c>
      <c r="D10009">
        <v>5382.13</v>
      </c>
    </row>
    <row r="10010" spans="1:4" hidden="1" x14ac:dyDescent="0.25">
      <c r="A10010" t="s">
        <v>697</v>
      </c>
      <c r="B10010" t="s">
        <v>60</v>
      </c>
      <c r="C10010" s="2">
        <f>HYPERLINK("https://sao.dolgi.msk.ru/account/1404126288/", 1404126288)</f>
        <v>1404126288</v>
      </c>
      <c r="D10010">
        <v>-6014.21</v>
      </c>
    </row>
    <row r="10011" spans="1:4" hidden="1" x14ac:dyDescent="0.25">
      <c r="A10011" t="s">
        <v>697</v>
      </c>
      <c r="B10011" t="s">
        <v>61</v>
      </c>
      <c r="C10011" s="2">
        <f>HYPERLINK("https://sao.dolgi.msk.ru/account/1404126851/", 1404126851)</f>
        <v>1404126851</v>
      </c>
      <c r="D10011">
        <v>-4720.2</v>
      </c>
    </row>
    <row r="10012" spans="1:4" hidden="1" x14ac:dyDescent="0.25">
      <c r="A10012" t="s">
        <v>697</v>
      </c>
      <c r="B10012" t="s">
        <v>62</v>
      </c>
      <c r="C10012" s="2">
        <f>HYPERLINK("https://sao.dolgi.msk.ru/account/1404126448/", 1404126448)</f>
        <v>1404126448</v>
      </c>
      <c r="D10012">
        <v>-3072.01</v>
      </c>
    </row>
    <row r="10013" spans="1:4" hidden="1" x14ac:dyDescent="0.25">
      <c r="A10013" t="s">
        <v>697</v>
      </c>
      <c r="B10013" t="s">
        <v>63</v>
      </c>
      <c r="C10013" s="2">
        <f>HYPERLINK("https://sao.dolgi.msk.ru/account/1404126456/", 1404126456)</f>
        <v>1404126456</v>
      </c>
      <c r="D10013">
        <v>-4670.78</v>
      </c>
    </row>
    <row r="10014" spans="1:4" x14ac:dyDescent="0.25">
      <c r="A10014" t="s">
        <v>697</v>
      </c>
      <c r="B10014" t="s">
        <v>64</v>
      </c>
      <c r="C10014" s="2">
        <f>HYPERLINK("https://sao.dolgi.msk.ru/account/1404126878/", 1404126878)</f>
        <v>1404126878</v>
      </c>
      <c r="D10014">
        <v>29291.93</v>
      </c>
    </row>
    <row r="10015" spans="1:4" hidden="1" x14ac:dyDescent="0.25">
      <c r="A10015" t="s">
        <v>697</v>
      </c>
      <c r="B10015" t="s">
        <v>65</v>
      </c>
      <c r="C10015" s="2">
        <f>HYPERLINK("https://sao.dolgi.msk.ru/account/1404126608/", 1404126608)</f>
        <v>1404126608</v>
      </c>
      <c r="D10015">
        <v>-5152.22</v>
      </c>
    </row>
    <row r="10016" spans="1:4" hidden="1" x14ac:dyDescent="0.25">
      <c r="A10016" t="s">
        <v>697</v>
      </c>
      <c r="B10016" t="s">
        <v>66</v>
      </c>
      <c r="C10016" s="2">
        <f>HYPERLINK("https://sao.dolgi.msk.ru/account/1404126464/", 1404126464)</f>
        <v>1404126464</v>
      </c>
      <c r="D10016">
        <v>0</v>
      </c>
    </row>
    <row r="10017" spans="1:4" x14ac:dyDescent="0.25">
      <c r="A10017" t="s">
        <v>697</v>
      </c>
      <c r="B10017" t="s">
        <v>67</v>
      </c>
      <c r="C10017" s="2">
        <f>HYPERLINK("https://sao.dolgi.msk.ru/account/1404126165/", 1404126165)</f>
        <v>1404126165</v>
      </c>
      <c r="D10017">
        <v>120807.32</v>
      </c>
    </row>
    <row r="10018" spans="1:4" hidden="1" x14ac:dyDescent="0.25">
      <c r="A10018" t="s">
        <v>697</v>
      </c>
      <c r="B10018" t="s">
        <v>68</v>
      </c>
      <c r="C10018" s="2">
        <f>HYPERLINK("https://sao.dolgi.msk.ru/account/1404126886/", 1404126886)</f>
        <v>1404126886</v>
      </c>
      <c r="D10018">
        <v>0</v>
      </c>
    </row>
    <row r="10019" spans="1:4" hidden="1" x14ac:dyDescent="0.25">
      <c r="A10019" t="s">
        <v>697</v>
      </c>
      <c r="B10019" t="s">
        <v>69</v>
      </c>
      <c r="C10019" s="2">
        <f>HYPERLINK("https://sao.dolgi.msk.ru/account/1404126894/", 1404126894)</f>
        <v>1404126894</v>
      </c>
      <c r="D10019">
        <v>0</v>
      </c>
    </row>
    <row r="10020" spans="1:4" hidden="1" x14ac:dyDescent="0.25">
      <c r="A10020" t="s">
        <v>697</v>
      </c>
      <c r="B10020" t="s">
        <v>70</v>
      </c>
      <c r="C10020" s="2">
        <f>HYPERLINK("https://sao.dolgi.msk.ru/account/1404126296/", 1404126296)</f>
        <v>1404126296</v>
      </c>
      <c r="D10020">
        <v>-4283.97</v>
      </c>
    </row>
    <row r="10021" spans="1:4" hidden="1" x14ac:dyDescent="0.25">
      <c r="A10021" t="s">
        <v>697</v>
      </c>
      <c r="B10021" t="s">
        <v>71</v>
      </c>
      <c r="C10021" s="2">
        <f>HYPERLINK("https://sao.dolgi.msk.ru/account/1404126472/", 1404126472)</f>
        <v>1404126472</v>
      </c>
      <c r="D10021">
        <v>-4400.5600000000004</v>
      </c>
    </row>
    <row r="10022" spans="1:4" x14ac:dyDescent="0.25">
      <c r="A10022" t="s">
        <v>697</v>
      </c>
      <c r="B10022" t="s">
        <v>72</v>
      </c>
      <c r="C10022" s="2">
        <f>HYPERLINK("https://sao.dolgi.msk.ru/account/1404126739/", 1404126739)</f>
        <v>1404126739</v>
      </c>
      <c r="D10022">
        <v>3232.4</v>
      </c>
    </row>
    <row r="10023" spans="1:4" hidden="1" x14ac:dyDescent="0.25">
      <c r="A10023" t="s">
        <v>697</v>
      </c>
      <c r="B10023" t="s">
        <v>73</v>
      </c>
      <c r="C10023" s="2">
        <f>HYPERLINK("https://sao.dolgi.msk.ru/account/1404126907/", 1404126907)</f>
        <v>1404126907</v>
      </c>
      <c r="D10023">
        <v>-6335.4</v>
      </c>
    </row>
    <row r="10024" spans="1:4" hidden="1" x14ac:dyDescent="0.25">
      <c r="A10024" t="s">
        <v>697</v>
      </c>
      <c r="B10024" t="s">
        <v>74</v>
      </c>
      <c r="C10024" s="2">
        <f>HYPERLINK("https://sao.dolgi.msk.ru/account/1404126624/", 1404126624)</f>
        <v>1404126624</v>
      </c>
      <c r="D10024">
        <v>-237.29</v>
      </c>
    </row>
    <row r="10025" spans="1:4" hidden="1" x14ac:dyDescent="0.25">
      <c r="A10025" t="s">
        <v>697</v>
      </c>
      <c r="B10025" t="s">
        <v>75</v>
      </c>
      <c r="C10025" s="2">
        <f>HYPERLINK("https://sao.dolgi.msk.ru/account/1404126632/", 1404126632)</f>
        <v>1404126632</v>
      </c>
      <c r="D10025">
        <v>-12815.73</v>
      </c>
    </row>
    <row r="10026" spans="1:4" hidden="1" x14ac:dyDescent="0.25">
      <c r="A10026" t="s">
        <v>697</v>
      </c>
      <c r="B10026" t="s">
        <v>76</v>
      </c>
      <c r="C10026" s="2">
        <f>HYPERLINK("https://sao.dolgi.msk.ru/account/1404126499/", 1404126499)</f>
        <v>1404126499</v>
      </c>
      <c r="D10026">
        <v>-2845.92</v>
      </c>
    </row>
    <row r="10027" spans="1:4" hidden="1" x14ac:dyDescent="0.25">
      <c r="A10027" t="s">
        <v>698</v>
      </c>
      <c r="B10027" t="s">
        <v>5</v>
      </c>
      <c r="C10027" s="2">
        <f>HYPERLINK("https://sao.dolgi.msk.ru/account/1404127109/", 1404127109)</f>
        <v>1404127109</v>
      </c>
      <c r="D10027">
        <v>-2756.01</v>
      </c>
    </row>
    <row r="10028" spans="1:4" x14ac:dyDescent="0.25">
      <c r="A10028" t="s">
        <v>698</v>
      </c>
      <c r="B10028" t="s">
        <v>6</v>
      </c>
      <c r="C10028" s="2">
        <f>HYPERLINK("https://sao.dolgi.msk.ru/account/1404127125/", 1404127125)</f>
        <v>1404127125</v>
      </c>
      <c r="D10028">
        <v>212247.9</v>
      </c>
    </row>
    <row r="10029" spans="1:4" hidden="1" x14ac:dyDescent="0.25">
      <c r="A10029" t="s">
        <v>698</v>
      </c>
      <c r="B10029" t="s">
        <v>7</v>
      </c>
      <c r="C10029" s="2">
        <f>HYPERLINK("https://sao.dolgi.msk.ru/account/1404127256/", 1404127256)</f>
        <v>1404127256</v>
      </c>
      <c r="D10029">
        <v>-5460.22</v>
      </c>
    </row>
    <row r="10030" spans="1:4" hidden="1" x14ac:dyDescent="0.25">
      <c r="A10030" t="s">
        <v>698</v>
      </c>
      <c r="B10030" t="s">
        <v>8</v>
      </c>
      <c r="C10030" s="2">
        <f>HYPERLINK("https://sao.dolgi.msk.ru/account/1404127491/", 1404127491)</f>
        <v>1404127491</v>
      </c>
      <c r="D10030">
        <v>-4333.08</v>
      </c>
    </row>
    <row r="10031" spans="1:4" hidden="1" x14ac:dyDescent="0.25">
      <c r="A10031" t="s">
        <v>698</v>
      </c>
      <c r="B10031" t="s">
        <v>9</v>
      </c>
      <c r="C10031" s="2">
        <f>HYPERLINK("https://sao.dolgi.msk.ru/account/1404127766/", 1404127766)</f>
        <v>1404127766</v>
      </c>
      <c r="D10031">
        <v>-2313.02</v>
      </c>
    </row>
    <row r="10032" spans="1:4" x14ac:dyDescent="0.25">
      <c r="A10032" t="s">
        <v>698</v>
      </c>
      <c r="B10032" t="s">
        <v>10</v>
      </c>
      <c r="C10032" s="2">
        <f>HYPERLINK("https://sao.dolgi.msk.ru/account/1404126974/", 1404126974)</f>
        <v>1404126974</v>
      </c>
      <c r="D10032">
        <v>3358.89</v>
      </c>
    </row>
    <row r="10033" spans="1:4" hidden="1" x14ac:dyDescent="0.25">
      <c r="A10033" t="s">
        <v>698</v>
      </c>
      <c r="B10033" t="s">
        <v>10</v>
      </c>
      <c r="C10033" s="2">
        <f>HYPERLINK("https://sao.dolgi.msk.ru/account/1404155484/", 1404155484)</f>
        <v>1404155484</v>
      </c>
      <c r="D10033">
        <v>0</v>
      </c>
    </row>
    <row r="10034" spans="1:4" hidden="1" x14ac:dyDescent="0.25">
      <c r="A10034" t="s">
        <v>698</v>
      </c>
      <c r="B10034" t="s">
        <v>11</v>
      </c>
      <c r="C10034" s="2">
        <f>HYPERLINK("https://sao.dolgi.msk.ru/account/1404127811/", 1404127811)</f>
        <v>1404127811</v>
      </c>
      <c r="D10034">
        <v>-24985.72</v>
      </c>
    </row>
    <row r="10035" spans="1:4" x14ac:dyDescent="0.25">
      <c r="A10035" t="s">
        <v>698</v>
      </c>
      <c r="B10035" t="s">
        <v>12</v>
      </c>
      <c r="C10035" s="2">
        <f>HYPERLINK("https://sao.dolgi.msk.ru/account/1404127424/", 1404127424)</f>
        <v>1404127424</v>
      </c>
      <c r="D10035">
        <v>3500.05</v>
      </c>
    </row>
    <row r="10036" spans="1:4" hidden="1" x14ac:dyDescent="0.25">
      <c r="A10036" t="s">
        <v>698</v>
      </c>
      <c r="B10036" t="s">
        <v>13</v>
      </c>
      <c r="C10036" s="2">
        <f>HYPERLINK("https://sao.dolgi.msk.ru/account/1404127563/", 1404127563)</f>
        <v>1404127563</v>
      </c>
      <c r="D10036">
        <v>-4522.54</v>
      </c>
    </row>
    <row r="10037" spans="1:4" x14ac:dyDescent="0.25">
      <c r="A10037" t="s">
        <v>698</v>
      </c>
      <c r="B10037" t="s">
        <v>14</v>
      </c>
      <c r="C10037" s="2">
        <f>HYPERLINK("https://sao.dolgi.msk.ru/account/1404127213/", 1404127213)</f>
        <v>1404127213</v>
      </c>
      <c r="D10037">
        <v>4651.75</v>
      </c>
    </row>
    <row r="10038" spans="1:4" hidden="1" x14ac:dyDescent="0.25">
      <c r="A10038" t="s">
        <v>698</v>
      </c>
      <c r="B10038" t="s">
        <v>15</v>
      </c>
      <c r="C10038" s="2">
        <f>HYPERLINK("https://sao.dolgi.msk.ru/account/1404127117/", 1404127117)</f>
        <v>1404127117</v>
      </c>
      <c r="D10038">
        <v>-522.38</v>
      </c>
    </row>
    <row r="10039" spans="1:4" hidden="1" x14ac:dyDescent="0.25">
      <c r="A10039" t="s">
        <v>698</v>
      </c>
      <c r="B10039" t="s">
        <v>16</v>
      </c>
      <c r="C10039" s="2">
        <f>HYPERLINK("https://sao.dolgi.msk.ru/account/1404126915/", 1404126915)</f>
        <v>1404126915</v>
      </c>
      <c r="D10039">
        <v>-12391.53</v>
      </c>
    </row>
    <row r="10040" spans="1:4" hidden="1" x14ac:dyDescent="0.25">
      <c r="A10040" t="s">
        <v>698</v>
      </c>
      <c r="B10040" t="s">
        <v>17</v>
      </c>
      <c r="C10040" s="2">
        <f>HYPERLINK("https://sao.dolgi.msk.ru/account/1404127432/", 1404127432)</f>
        <v>1404127432</v>
      </c>
      <c r="D10040">
        <v>-5933.8</v>
      </c>
    </row>
    <row r="10041" spans="1:4" hidden="1" x14ac:dyDescent="0.25">
      <c r="A10041" t="s">
        <v>698</v>
      </c>
      <c r="B10041" t="s">
        <v>18</v>
      </c>
      <c r="C10041" s="2">
        <f>HYPERLINK("https://sao.dolgi.msk.ru/account/1404127221/", 1404127221)</f>
        <v>1404127221</v>
      </c>
      <c r="D10041">
        <v>-6299.65</v>
      </c>
    </row>
    <row r="10042" spans="1:4" x14ac:dyDescent="0.25">
      <c r="A10042" t="s">
        <v>698</v>
      </c>
      <c r="B10042" t="s">
        <v>19</v>
      </c>
      <c r="C10042" s="2">
        <f>HYPERLINK("https://sao.dolgi.msk.ru/account/1404127459/", 1404127459)</f>
        <v>1404127459</v>
      </c>
      <c r="D10042">
        <v>456.78</v>
      </c>
    </row>
    <row r="10043" spans="1:4" hidden="1" x14ac:dyDescent="0.25">
      <c r="A10043" t="s">
        <v>698</v>
      </c>
      <c r="B10043" t="s">
        <v>20</v>
      </c>
      <c r="C10043" s="2">
        <f>HYPERLINK("https://sao.dolgi.msk.ru/account/1404127467/", 1404127467)</f>
        <v>1404127467</v>
      </c>
      <c r="D10043">
        <v>-293.08</v>
      </c>
    </row>
    <row r="10044" spans="1:4" x14ac:dyDescent="0.25">
      <c r="A10044" t="s">
        <v>698</v>
      </c>
      <c r="B10044" t="s">
        <v>21</v>
      </c>
      <c r="C10044" s="2">
        <f>HYPERLINK("https://sao.dolgi.msk.ru/account/1404127475/", 1404127475)</f>
        <v>1404127475</v>
      </c>
      <c r="D10044">
        <v>4449.8</v>
      </c>
    </row>
    <row r="10045" spans="1:4" hidden="1" x14ac:dyDescent="0.25">
      <c r="A10045" t="s">
        <v>698</v>
      </c>
      <c r="B10045" t="s">
        <v>22</v>
      </c>
      <c r="C10045" s="2">
        <f>HYPERLINK("https://sao.dolgi.msk.ru/account/1404127707/", 1404127707)</f>
        <v>1404127707</v>
      </c>
      <c r="D10045">
        <v>-5608.03</v>
      </c>
    </row>
    <row r="10046" spans="1:4" x14ac:dyDescent="0.25">
      <c r="A10046" t="s">
        <v>698</v>
      </c>
      <c r="B10046" t="s">
        <v>23</v>
      </c>
      <c r="C10046" s="2">
        <f>HYPERLINK("https://sao.dolgi.msk.ru/account/1404127037/", 1404127037)</f>
        <v>1404127037</v>
      </c>
      <c r="D10046">
        <v>4666.29</v>
      </c>
    </row>
    <row r="10047" spans="1:4" x14ac:dyDescent="0.25">
      <c r="A10047" t="s">
        <v>698</v>
      </c>
      <c r="B10047" t="s">
        <v>24</v>
      </c>
      <c r="C10047" s="2">
        <f>HYPERLINK("https://sao.dolgi.msk.ru/account/1404127248/", 1404127248)</f>
        <v>1404127248</v>
      </c>
      <c r="D10047">
        <v>16579.22</v>
      </c>
    </row>
    <row r="10048" spans="1:4" hidden="1" x14ac:dyDescent="0.25">
      <c r="A10048" t="s">
        <v>698</v>
      </c>
      <c r="B10048" t="s">
        <v>25</v>
      </c>
      <c r="C10048" s="2">
        <f>HYPERLINK("https://sao.dolgi.msk.ru/account/1404127715/", 1404127715)</f>
        <v>1404127715</v>
      </c>
      <c r="D10048">
        <v>-5589.45</v>
      </c>
    </row>
    <row r="10049" spans="1:4" hidden="1" x14ac:dyDescent="0.25">
      <c r="A10049" t="s">
        <v>698</v>
      </c>
      <c r="B10049" t="s">
        <v>26</v>
      </c>
      <c r="C10049" s="2">
        <f>HYPERLINK("https://sao.dolgi.msk.ru/account/1404127598/", 1404127598)</f>
        <v>1404127598</v>
      </c>
      <c r="D10049">
        <v>-5500.94</v>
      </c>
    </row>
    <row r="10050" spans="1:4" hidden="1" x14ac:dyDescent="0.25">
      <c r="A10050" t="s">
        <v>698</v>
      </c>
      <c r="B10050" t="s">
        <v>27</v>
      </c>
      <c r="C10050" s="2">
        <f>HYPERLINK("https://sao.dolgi.msk.ru/account/1404127723/", 1404127723)</f>
        <v>1404127723</v>
      </c>
      <c r="D10050">
        <v>-4960.21</v>
      </c>
    </row>
    <row r="10051" spans="1:4" hidden="1" x14ac:dyDescent="0.25">
      <c r="A10051" t="s">
        <v>698</v>
      </c>
      <c r="B10051" t="s">
        <v>28</v>
      </c>
      <c r="C10051" s="2">
        <f>HYPERLINK("https://sao.dolgi.msk.ru/account/1404127133/", 1404127133)</f>
        <v>1404127133</v>
      </c>
      <c r="D10051">
        <v>-3755.1</v>
      </c>
    </row>
    <row r="10052" spans="1:4" hidden="1" x14ac:dyDescent="0.25">
      <c r="A10052" t="s">
        <v>698</v>
      </c>
      <c r="B10052" t="s">
        <v>29</v>
      </c>
      <c r="C10052" s="2">
        <f>HYPERLINK("https://sao.dolgi.msk.ru/account/1404127328/", 1404127328)</f>
        <v>1404127328</v>
      </c>
      <c r="D10052">
        <v>-6067.58</v>
      </c>
    </row>
    <row r="10053" spans="1:4" hidden="1" x14ac:dyDescent="0.25">
      <c r="A10053" t="s">
        <v>698</v>
      </c>
      <c r="B10053" t="s">
        <v>30</v>
      </c>
      <c r="C10053" s="2">
        <f>HYPERLINK("https://sao.dolgi.msk.ru/account/1404127141/", 1404127141)</f>
        <v>1404127141</v>
      </c>
      <c r="D10053">
        <v>-2810.78</v>
      </c>
    </row>
    <row r="10054" spans="1:4" hidden="1" x14ac:dyDescent="0.25">
      <c r="A10054" t="s">
        <v>698</v>
      </c>
      <c r="B10054" t="s">
        <v>31</v>
      </c>
      <c r="C10054" s="2">
        <f>HYPERLINK("https://sao.dolgi.msk.ru/account/1404127619/", 1404127619)</f>
        <v>1404127619</v>
      </c>
      <c r="D10054">
        <v>0</v>
      </c>
    </row>
    <row r="10055" spans="1:4" hidden="1" x14ac:dyDescent="0.25">
      <c r="A10055" t="s">
        <v>698</v>
      </c>
      <c r="B10055" t="s">
        <v>32</v>
      </c>
      <c r="C10055" s="2">
        <f>HYPERLINK("https://sao.dolgi.msk.ru/account/1404126923/", 1404126923)</f>
        <v>1404126923</v>
      </c>
      <c r="D10055">
        <v>-5421.54</v>
      </c>
    </row>
    <row r="10056" spans="1:4" hidden="1" x14ac:dyDescent="0.25">
      <c r="A10056" t="s">
        <v>698</v>
      </c>
      <c r="B10056" t="s">
        <v>33</v>
      </c>
      <c r="C10056" s="2">
        <f>HYPERLINK("https://sao.dolgi.msk.ru/account/1404126931/", 1404126931)</f>
        <v>1404126931</v>
      </c>
      <c r="D10056">
        <v>0</v>
      </c>
    </row>
    <row r="10057" spans="1:4" hidden="1" x14ac:dyDescent="0.25">
      <c r="A10057" t="s">
        <v>698</v>
      </c>
      <c r="B10057" t="s">
        <v>34</v>
      </c>
      <c r="C10057" s="2">
        <f>HYPERLINK("https://sao.dolgi.msk.ru/account/1404126958/", 1404126958)</f>
        <v>1404126958</v>
      </c>
      <c r="D10057">
        <v>-4080.38</v>
      </c>
    </row>
    <row r="10058" spans="1:4" hidden="1" x14ac:dyDescent="0.25">
      <c r="A10058" t="s">
        <v>698</v>
      </c>
      <c r="B10058" t="s">
        <v>35</v>
      </c>
      <c r="C10058" s="2">
        <f>HYPERLINK("https://sao.dolgi.msk.ru/account/1404127045/", 1404127045)</f>
        <v>1404127045</v>
      </c>
      <c r="D10058">
        <v>0</v>
      </c>
    </row>
    <row r="10059" spans="1:4" hidden="1" x14ac:dyDescent="0.25">
      <c r="A10059" t="s">
        <v>698</v>
      </c>
      <c r="B10059" t="s">
        <v>36</v>
      </c>
      <c r="C10059" s="2">
        <f>HYPERLINK("https://sao.dolgi.msk.ru/account/1404127264/", 1404127264)</f>
        <v>1404127264</v>
      </c>
      <c r="D10059">
        <v>-4956.38</v>
      </c>
    </row>
    <row r="10060" spans="1:4" hidden="1" x14ac:dyDescent="0.25">
      <c r="A10060" t="s">
        <v>698</v>
      </c>
      <c r="B10060" t="s">
        <v>37</v>
      </c>
      <c r="C10060" s="2">
        <f>HYPERLINK("https://sao.dolgi.msk.ru/account/1404127627/", 1404127627)</f>
        <v>1404127627</v>
      </c>
      <c r="D10060">
        <v>-1861.25</v>
      </c>
    </row>
    <row r="10061" spans="1:4" x14ac:dyDescent="0.25">
      <c r="A10061" t="s">
        <v>698</v>
      </c>
      <c r="B10061" t="s">
        <v>38</v>
      </c>
      <c r="C10061" s="2">
        <f>HYPERLINK("https://sao.dolgi.msk.ru/account/1404127336/", 1404127336)</f>
        <v>1404127336</v>
      </c>
      <c r="D10061">
        <v>19954.82</v>
      </c>
    </row>
    <row r="10062" spans="1:4" hidden="1" x14ac:dyDescent="0.25">
      <c r="A10062" t="s">
        <v>698</v>
      </c>
      <c r="B10062" t="s">
        <v>39</v>
      </c>
      <c r="C10062" s="2">
        <f>HYPERLINK("https://sao.dolgi.msk.ru/account/1404127483/", 1404127483)</f>
        <v>1404127483</v>
      </c>
      <c r="D10062">
        <v>-7665.01</v>
      </c>
    </row>
    <row r="10063" spans="1:4" hidden="1" x14ac:dyDescent="0.25">
      <c r="A10063" t="s">
        <v>698</v>
      </c>
      <c r="B10063" t="s">
        <v>40</v>
      </c>
      <c r="C10063" s="2">
        <f>HYPERLINK("https://sao.dolgi.msk.ru/account/1404127635/", 1404127635)</f>
        <v>1404127635</v>
      </c>
      <c r="D10063">
        <v>-7672.85</v>
      </c>
    </row>
    <row r="10064" spans="1:4" hidden="1" x14ac:dyDescent="0.25">
      <c r="A10064" t="s">
        <v>698</v>
      </c>
      <c r="B10064" t="s">
        <v>41</v>
      </c>
      <c r="C10064" s="2">
        <f>HYPERLINK("https://sao.dolgi.msk.ru/account/1404127344/", 1404127344)</f>
        <v>1404127344</v>
      </c>
      <c r="D10064">
        <v>-5894</v>
      </c>
    </row>
    <row r="10065" spans="1:4" hidden="1" x14ac:dyDescent="0.25">
      <c r="A10065" t="s">
        <v>698</v>
      </c>
      <c r="B10065" t="s">
        <v>42</v>
      </c>
      <c r="C10065" s="2">
        <f>HYPERLINK("https://sao.dolgi.msk.ru/account/1404127352/", 1404127352)</f>
        <v>1404127352</v>
      </c>
      <c r="D10065">
        <v>-3705.16</v>
      </c>
    </row>
    <row r="10066" spans="1:4" hidden="1" x14ac:dyDescent="0.25">
      <c r="A10066" t="s">
        <v>698</v>
      </c>
      <c r="B10066" t="s">
        <v>43</v>
      </c>
      <c r="C10066" s="2">
        <f>HYPERLINK("https://sao.dolgi.msk.ru/account/1404127643/", 1404127643)</f>
        <v>1404127643</v>
      </c>
      <c r="D10066">
        <v>-5245.62</v>
      </c>
    </row>
    <row r="10067" spans="1:4" hidden="1" x14ac:dyDescent="0.25">
      <c r="A10067" t="s">
        <v>698</v>
      </c>
      <c r="B10067" t="s">
        <v>44</v>
      </c>
      <c r="C10067" s="2">
        <f>HYPERLINK("https://sao.dolgi.msk.ru/account/1404127379/", 1404127379)</f>
        <v>1404127379</v>
      </c>
      <c r="D10067">
        <v>-4287</v>
      </c>
    </row>
    <row r="10068" spans="1:4" hidden="1" x14ac:dyDescent="0.25">
      <c r="A10068" t="s">
        <v>698</v>
      </c>
      <c r="B10068" t="s">
        <v>45</v>
      </c>
      <c r="C10068" s="2">
        <f>HYPERLINK("https://sao.dolgi.msk.ru/account/1404127651/", 1404127651)</f>
        <v>1404127651</v>
      </c>
      <c r="D10068">
        <v>-5071.22</v>
      </c>
    </row>
    <row r="10069" spans="1:4" x14ac:dyDescent="0.25">
      <c r="A10069" t="s">
        <v>698</v>
      </c>
      <c r="B10069" t="s">
        <v>46</v>
      </c>
      <c r="C10069" s="2">
        <f>HYPERLINK("https://sao.dolgi.msk.ru/account/1404127053/", 1404127053)</f>
        <v>1404127053</v>
      </c>
      <c r="D10069">
        <v>1604.62</v>
      </c>
    </row>
    <row r="10070" spans="1:4" hidden="1" x14ac:dyDescent="0.25">
      <c r="A10070" t="s">
        <v>698</v>
      </c>
      <c r="B10070" t="s">
        <v>47</v>
      </c>
      <c r="C10070" s="2">
        <f>HYPERLINK("https://sao.dolgi.msk.ru/account/1404127168/", 1404127168)</f>
        <v>1404127168</v>
      </c>
      <c r="D10070">
        <v>0</v>
      </c>
    </row>
    <row r="10071" spans="1:4" hidden="1" x14ac:dyDescent="0.25">
      <c r="A10071" t="s">
        <v>698</v>
      </c>
      <c r="B10071" t="s">
        <v>48</v>
      </c>
      <c r="C10071" s="2">
        <f>HYPERLINK("https://sao.dolgi.msk.ru/account/1404127731/", 1404127731)</f>
        <v>1404127731</v>
      </c>
      <c r="D10071">
        <v>-295.83999999999997</v>
      </c>
    </row>
    <row r="10072" spans="1:4" hidden="1" x14ac:dyDescent="0.25">
      <c r="A10072" t="s">
        <v>698</v>
      </c>
      <c r="B10072" t="s">
        <v>49</v>
      </c>
      <c r="C10072" s="2">
        <f>HYPERLINK("https://sao.dolgi.msk.ru/account/1404127387/", 1404127387)</f>
        <v>1404127387</v>
      </c>
      <c r="D10072">
        <v>-4526.95</v>
      </c>
    </row>
    <row r="10073" spans="1:4" hidden="1" x14ac:dyDescent="0.25">
      <c r="A10073" t="s">
        <v>698</v>
      </c>
      <c r="B10073" t="s">
        <v>50</v>
      </c>
      <c r="C10073" s="2">
        <f>HYPERLINK("https://sao.dolgi.msk.ru/account/1404127758/", 1404127758)</f>
        <v>1404127758</v>
      </c>
      <c r="D10073">
        <v>-345.94</v>
      </c>
    </row>
    <row r="10074" spans="1:4" hidden="1" x14ac:dyDescent="0.25">
      <c r="A10074" t="s">
        <v>698</v>
      </c>
      <c r="B10074" t="s">
        <v>51</v>
      </c>
      <c r="C10074" s="2">
        <f>HYPERLINK("https://sao.dolgi.msk.ru/account/1404127504/", 1404127504)</f>
        <v>1404127504</v>
      </c>
      <c r="D10074">
        <v>-6507.42</v>
      </c>
    </row>
    <row r="10075" spans="1:4" hidden="1" x14ac:dyDescent="0.25">
      <c r="A10075" t="s">
        <v>698</v>
      </c>
      <c r="B10075" t="s">
        <v>52</v>
      </c>
      <c r="C10075" s="2">
        <f>HYPERLINK("https://sao.dolgi.msk.ru/account/1404127272/", 1404127272)</f>
        <v>1404127272</v>
      </c>
      <c r="D10075">
        <v>0</v>
      </c>
    </row>
    <row r="10076" spans="1:4" hidden="1" x14ac:dyDescent="0.25">
      <c r="A10076" t="s">
        <v>698</v>
      </c>
      <c r="B10076" t="s">
        <v>53</v>
      </c>
      <c r="C10076" s="2">
        <f>HYPERLINK("https://sao.dolgi.msk.ru/account/1404127512/", 1404127512)</f>
        <v>1404127512</v>
      </c>
      <c r="D10076">
        <v>-4139.93</v>
      </c>
    </row>
    <row r="10077" spans="1:4" hidden="1" x14ac:dyDescent="0.25">
      <c r="A10077" t="s">
        <v>698</v>
      </c>
      <c r="B10077" t="s">
        <v>54</v>
      </c>
      <c r="C10077" s="2">
        <f>HYPERLINK("https://sao.dolgi.msk.ru/account/1404127176/", 1404127176)</f>
        <v>1404127176</v>
      </c>
      <c r="D10077">
        <v>-4313.37</v>
      </c>
    </row>
    <row r="10078" spans="1:4" hidden="1" x14ac:dyDescent="0.25">
      <c r="A10078" t="s">
        <v>698</v>
      </c>
      <c r="B10078" t="s">
        <v>55</v>
      </c>
      <c r="C10078" s="2">
        <f>HYPERLINK("https://sao.dolgi.msk.ru/account/1404127539/", 1404127539)</f>
        <v>1404127539</v>
      </c>
      <c r="D10078">
        <v>-150.15</v>
      </c>
    </row>
    <row r="10079" spans="1:4" hidden="1" x14ac:dyDescent="0.25">
      <c r="A10079" t="s">
        <v>698</v>
      </c>
      <c r="B10079" t="s">
        <v>56</v>
      </c>
      <c r="C10079" s="2">
        <f>HYPERLINK("https://sao.dolgi.msk.ru/account/1404127774/", 1404127774)</f>
        <v>1404127774</v>
      </c>
      <c r="D10079">
        <v>-4349.72</v>
      </c>
    </row>
    <row r="10080" spans="1:4" hidden="1" x14ac:dyDescent="0.25">
      <c r="A10080" t="s">
        <v>698</v>
      </c>
      <c r="B10080" t="s">
        <v>57</v>
      </c>
      <c r="C10080" s="2">
        <f>HYPERLINK("https://sao.dolgi.msk.ru/account/1404127782/", 1404127782)</f>
        <v>1404127782</v>
      </c>
      <c r="D10080">
        <v>-5813.38</v>
      </c>
    </row>
    <row r="10081" spans="1:4" hidden="1" x14ac:dyDescent="0.25">
      <c r="A10081" t="s">
        <v>698</v>
      </c>
      <c r="B10081" t="s">
        <v>58</v>
      </c>
      <c r="C10081" s="2">
        <f>HYPERLINK("https://sao.dolgi.msk.ru/account/1404127395/", 1404127395)</f>
        <v>1404127395</v>
      </c>
      <c r="D10081">
        <v>-5320.14</v>
      </c>
    </row>
    <row r="10082" spans="1:4" hidden="1" x14ac:dyDescent="0.25">
      <c r="A10082" t="s">
        <v>698</v>
      </c>
      <c r="B10082" t="s">
        <v>59</v>
      </c>
      <c r="C10082" s="2">
        <f>HYPERLINK("https://sao.dolgi.msk.ru/account/1404127694/", 1404127694)</f>
        <v>1404127694</v>
      </c>
      <c r="D10082">
        <v>-1873.31</v>
      </c>
    </row>
    <row r="10083" spans="1:4" hidden="1" x14ac:dyDescent="0.25">
      <c r="A10083" t="s">
        <v>698</v>
      </c>
      <c r="B10083" t="s">
        <v>59</v>
      </c>
      <c r="C10083" s="2">
        <f>HYPERLINK("https://sao.dolgi.msk.ru/account/1404127803/", 1404127803)</f>
        <v>1404127803</v>
      </c>
      <c r="D10083">
        <v>-1976.73</v>
      </c>
    </row>
    <row r="10084" spans="1:4" hidden="1" x14ac:dyDescent="0.25">
      <c r="A10084" t="s">
        <v>698</v>
      </c>
      <c r="B10084" t="s">
        <v>60</v>
      </c>
      <c r="C10084" s="2">
        <f>HYPERLINK("https://sao.dolgi.msk.ru/account/1404127678/", 1404127678)</f>
        <v>1404127678</v>
      </c>
      <c r="D10084">
        <v>-4513.33</v>
      </c>
    </row>
    <row r="10085" spans="1:4" x14ac:dyDescent="0.25">
      <c r="A10085" t="s">
        <v>698</v>
      </c>
      <c r="B10085" t="s">
        <v>61</v>
      </c>
      <c r="C10085" s="2">
        <f>HYPERLINK("https://sao.dolgi.msk.ru/account/1404127299/", 1404127299)</f>
        <v>1404127299</v>
      </c>
      <c r="D10085">
        <v>3792.76</v>
      </c>
    </row>
    <row r="10086" spans="1:4" hidden="1" x14ac:dyDescent="0.25">
      <c r="A10086" t="s">
        <v>698</v>
      </c>
      <c r="B10086" t="s">
        <v>62</v>
      </c>
      <c r="C10086" s="2">
        <f>HYPERLINK("https://sao.dolgi.msk.ru/account/1404127408/", 1404127408)</f>
        <v>1404127408</v>
      </c>
      <c r="D10086">
        <v>-1021.08</v>
      </c>
    </row>
    <row r="10087" spans="1:4" hidden="1" x14ac:dyDescent="0.25">
      <c r="A10087" t="s">
        <v>698</v>
      </c>
      <c r="B10087" t="s">
        <v>63</v>
      </c>
      <c r="C10087" s="2">
        <f>HYPERLINK("https://sao.dolgi.msk.ru/account/1404126966/", 1404126966)</f>
        <v>1404126966</v>
      </c>
      <c r="D10087">
        <v>-6325.85</v>
      </c>
    </row>
    <row r="10088" spans="1:4" x14ac:dyDescent="0.25">
      <c r="A10088" t="s">
        <v>698</v>
      </c>
      <c r="B10088" t="s">
        <v>64</v>
      </c>
      <c r="C10088" s="2">
        <f>HYPERLINK("https://sao.dolgi.msk.ru/account/1404126982/", 1404126982)</f>
        <v>1404126982</v>
      </c>
      <c r="D10088">
        <v>3454.84</v>
      </c>
    </row>
    <row r="10089" spans="1:4" hidden="1" x14ac:dyDescent="0.25">
      <c r="A10089" t="s">
        <v>698</v>
      </c>
      <c r="B10089" t="s">
        <v>65</v>
      </c>
      <c r="C10089" s="2">
        <f>HYPERLINK("https://sao.dolgi.msk.ru/account/1404127301/", 1404127301)</f>
        <v>1404127301</v>
      </c>
      <c r="D10089">
        <v>-3959.99</v>
      </c>
    </row>
    <row r="10090" spans="1:4" hidden="1" x14ac:dyDescent="0.25">
      <c r="A10090" t="s">
        <v>698</v>
      </c>
      <c r="B10090" t="s">
        <v>66</v>
      </c>
      <c r="C10090" s="2">
        <f>HYPERLINK("https://sao.dolgi.msk.ru/account/1404127184/", 1404127184)</f>
        <v>1404127184</v>
      </c>
      <c r="D10090">
        <v>-5912.6</v>
      </c>
    </row>
    <row r="10091" spans="1:4" hidden="1" x14ac:dyDescent="0.25">
      <c r="A10091" t="s">
        <v>698</v>
      </c>
      <c r="B10091" t="s">
        <v>67</v>
      </c>
      <c r="C10091" s="2">
        <f>HYPERLINK("https://sao.dolgi.msk.ru/account/1404127416/", 1404127416)</f>
        <v>1404127416</v>
      </c>
      <c r="D10091">
        <v>-4411.3100000000004</v>
      </c>
    </row>
    <row r="10092" spans="1:4" hidden="1" x14ac:dyDescent="0.25">
      <c r="A10092" t="s">
        <v>698</v>
      </c>
      <c r="B10092" t="s">
        <v>68</v>
      </c>
      <c r="C10092" s="2">
        <f>HYPERLINK("https://sao.dolgi.msk.ru/account/1404127002/", 1404127002)</f>
        <v>1404127002</v>
      </c>
      <c r="D10092">
        <v>0</v>
      </c>
    </row>
    <row r="10093" spans="1:4" hidden="1" x14ac:dyDescent="0.25">
      <c r="A10093" t="s">
        <v>698</v>
      </c>
      <c r="B10093" t="s">
        <v>68</v>
      </c>
      <c r="C10093" s="2">
        <f>HYPERLINK("https://sao.dolgi.msk.ru/account/1404127571/", 1404127571)</f>
        <v>1404127571</v>
      </c>
      <c r="D10093">
        <v>0</v>
      </c>
    </row>
    <row r="10094" spans="1:4" hidden="1" x14ac:dyDescent="0.25">
      <c r="A10094" t="s">
        <v>698</v>
      </c>
      <c r="B10094" t="s">
        <v>69</v>
      </c>
      <c r="C10094" s="2">
        <f>HYPERLINK("https://sao.dolgi.msk.ru/account/1404127192/", 1404127192)</f>
        <v>1404127192</v>
      </c>
      <c r="D10094">
        <v>-167.9</v>
      </c>
    </row>
    <row r="10095" spans="1:4" hidden="1" x14ac:dyDescent="0.25">
      <c r="A10095" t="s">
        <v>698</v>
      </c>
      <c r="B10095" t="s">
        <v>70</v>
      </c>
      <c r="C10095" s="2">
        <f>HYPERLINK("https://sao.dolgi.msk.ru/account/1404127029/", 1404127029)</f>
        <v>1404127029</v>
      </c>
      <c r="D10095">
        <v>-5162.75</v>
      </c>
    </row>
    <row r="10096" spans="1:4" hidden="1" x14ac:dyDescent="0.25">
      <c r="A10096" t="s">
        <v>698</v>
      </c>
      <c r="B10096" t="s">
        <v>71</v>
      </c>
      <c r="C10096" s="2">
        <f>HYPERLINK("https://sao.dolgi.msk.ru/account/1404127547/", 1404127547)</f>
        <v>1404127547</v>
      </c>
      <c r="D10096">
        <v>-14442.73</v>
      </c>
    </row>
    <row r="10097" spans="1:4" hidden="1" x14ac:dyDescent="0.25">
      <c r="A10097" t="s">
        <v>698</v>
      </c>
      <c r="B10097" t="s">
        <v>72</v>
      </c>
      <c r="C10097" s="2">
        <f>HYPERLINK("https://sao.dolgi.msk.ru/account/1404127061/", 1404127061)</f>
        <v>1404127061</v>
      </c>
      <c r="D10097">
        <v>-265.22000000000003</v>
      </c>
    </row>
    <row r="10098" spans="1:4" hidden="1" x14ac:dyDescent="0.25">
      <c r="A10098" t="s">
        <v>698</v>
      </c>
      <c r="B10098" t="s">
        <v>73</v>
      </c>
      <c r="C10098" s="2">
        <f>HYPERLINK("https://sao.dolgi.msk.ru/account/1404127205/", 1404127205)</f>
        <v>1404127205</v>
      </c>
      <c r="D10098">
        <v>-7538.38</v>
      </c>
    </row>
    <row r="10099" spans="1:4" hidden="1" x14ac:dyDescent="0.25">
      <c r="A10099" t="s">
        <v>698</v>
      </c>
      <c r="B10099" t="s">
        <v>73</v>
      </c>
      <c r="C10099" s="2">
        <f>HYPERLINK("https://sao.dolgi.msk.ru/account/1404127686/", 1404127686)</f>
        <v>1404127686</v>
      </c>
      <c r="D10099">
        <v>-3705.09</v>
      </c>
    </row>
    <row r="10100" spans="1:4" x14ac:dyDescent="0.25">
      <c r="A10100" t="s">
        <v>698</v>
      </c>
      <c r="B10100" t="s">
        <v>74</v>
      </c>
      <c r="C10100" s="2">
        <f>HYPERLINK("https://sao.dolgi.msk.ru/account/1404127555/", 1404127555)</f>
        <v>1404127555</v>
      </c>
      <c r="D10100">
        <v>5195.6499999999996</v>
      </c>
    </row>
    <row r="10101" spans="1:4" hidden="1" x14ac:dyDescent="0.25">
      <c r="A10101" t="s">
        <v>698</v>
      </c>
      <c r="B10101" t="s">
        <v>75</v>
      </c>
      <c r="C10101" s="2">
        <f>HYPERLINK("https://sao.dolgi.msk.ru/account/1404127088/", 1404127088)</f>
        <v>1404127088</v>
      </c>
      <c r="D10101">
        <v>-6037.26</v>
      </c>
    </row>
    <row r="10102" spans="1:4" hidden="1" x14ac:dyDescent="0.25">
      <c r="A10102" t="s">
        <v>698</v>
      </c>
      <c r="B10102" t="s">
        <v>76</v>
      </c>
      <c r="C10102" s="2">
        <f>HYPERLINK("https://sao.dolgi.msk.ru/account/1404127096/", 1404127096)</f>
        <v>1404127096</v>
      </c>
      <c r="D10102">
        <v>-4305.8900000000003</v>
      </c>
    </row>
    <row r="10103" spans="1:4" hidden="1" x14ac:dyDescent="0.25">
      <c r="A10103" t="s">
        <v>699</v>
      </c>
      <c r="B10103" t="s">
        <v>5</v>
      </c>
      <c r="C10103" s="2">
        <f>HYPERLINK("https://sao.dolgi.msk.ru/account/1404127838/", 1404127838)</f>
        <v>1404127838</v>
      </c>
      <c r="D10103">
        <v>0</v>
      </c>
    </row>
    <row r="10104" spans="1:4" x14ac:dyDescent="0.25">
      <c r="A10104" t="s">
        <v>699</v>
      </c>
      <c r="B10104" t="s">
        <v>6</v>
      </c>
      <c r="C10104" s="2">
        <f>HYPERLINK("https://sao.dolgi.msk.ru/account/1404128021/", 1404128021)</f>
        <v>1404128021</v>
      </c>
      <c r="D10104">
        <v>7900.13</v>
      </c>
    </row>
    <row r="10105" spans="1:4" hidden="1" x14ac:dyDescent="0.25">
      <c r="A10105" t="s">
        <v>699</v>
      </c>
      <c r="B10105" t="s">
        <v>7</v>
      </c>
      <c r="C10105" s="2">
        <f>HYPERLINK("https://sao.dolgi.msk.ru/account/1404128523/", 1404128523)</f>
        <v>1404128523</v>
      </c>
      <c r="D10105">
        <v>-4082.09</v>
      </c>
    </row>
    <row r="10106" spans="1:4" x14ac:dyDescent="0.25">
      <c r="A10106" t="s">
        <v>699</v>
      </c>
      <c r="B10106" t="s">
        <v>8</v>
      </c>
      <c r="C10106" s="2">
        <f>HYPERLINK("https://sao.dolgi.msk.ru/account/1404128267/", 1404128267)</f>
        <v>1404128267</v>
      </c>
      <c r="D10106">
        <v>3420.87</v>
      </c>
    </row>
    <row r="10107" spans="1:4" hidden="1" x14ac:dyDescent="0.25">
      <c r="A10107" t="s">
        <v>699</v>
      </c>
      <c r="B10107" t="s">
        <v>9</v>
      </c>
      <c r="C10107" s="2">
        <f>HYPERLINK("https://sao.dolgi.msk.ru/account/1404128056/", 1404128056)</f>
        <v>1404128056</v>
      </c>
      <c r="D10107">
        <v>-4300.6499999999996</v>
      </c>
    </row>
    <row r="10108" spans="1:4" x14ac:dyDescent="0.25">
      <c r="A10108" t="s">
        <v>699</v>
      </c>
      <c r="B10108" t="s">
        <v>10</v>
      </c>
      <c r="C10108" s="2">
        <f>HYPERLINK("https://sao.dolgi.msk.ru/account/1404127942/", 1404127942)</f>
        <v>1404127942</v>
      </c>
      <c r="D10108">
        <v>73023.61</v>
      </c>
    </row>
    <row r="10109" spans="1:4" hidden="1" x14ac:dyDescent="0.25">
      <c r="A10109" t="s">
        <v>699</v>
      </c>
      <c r="B10109" t="s">
        <v>11</v>
      </c>
      <c r="C10109" s="2">
        <f>HYPERLINK("https://sao.dolgi.msk.ru/account/1404128355/", 1404128355)</f>
        <v>1404128355</v>
      </c>
      <c r="D10109">
        <v>-1737.04</v>
      </c>
    </row>
    <row r="10110" spans="1:4" hidden="1" x14ac:dyDescent="0.25">
      <c r="A10110" t="s">
        <v>699</v>
      </c>
      <c r="B10110" t="s">
        <v>12</v>
      </c>
      <c r="C10110" s="2">
        <f>HYPERLINK("https://sao.dolgi.msk.ru/account/1404128646/", 1404128646)</f>
        <v>1404128646</v>
      </c>
      <c r="D10110">
        <v>0</v>
      </c>
    </row>
    <row r="10111" spans="1:4" hidden="1" x14ac:dyDescent="0.25">
      <c r="A10111" t="s">
        <v>699</v>
      </c>
      <c r="B10111" t="s">
        <v>13</v>
      </c>
      <c r="C10111" s="2">
        <f>HYPERLINK("https://sao.dolgi.msk.ru/account/1404128363/", 1404128363)</f>
        <v>1404128363</v>
      </c>
      <c r="D10111">
        <v>-5393.64</v>
      </c>
    </row>
    <row r="10112" spans="1:4" hidden="1" x14ac:dyDescent="0.25">
      <c r="A10112" t="s">
        <v>699</v>
      </c>
      <c r="B10112" t="s">
        <v>14</v>
      </c>
      <c r="C10112" s="2">
        <f>HYPERLINK("https://sao.dolgi.msk.ru/account/1404127846/", 1404127846)</f>
        <v>1404127846</v>
      </c>
      <c r="D10112">
        <v>-3887.9</v>
      </c>
    </row>
    <row r="10113" spans="1:4" hidden="1" x14ac:dyDescent="0.25">
      <c r="A10113" t="s">
        <v>699</v>
      </c>
      <c r="B10113" t="s">
        <v>15</v>
      </c>
      <c r="C10113" s="2">
        <f>HYPERLINK("https://sao.dolgi.msk.ru/account/1404128216/", 1404128216)</f>
        <v>1404128216</v>
      </c>
      <c r="D10113">
        <v>-5116.75</v>
      </c>
    </row>
    <row r="10114" spans="1:4" hidden="1" x14ac:dyDescent="0.25">
      <c r="A10114" t="s">
        <v>699</v>
      </c>
      <c r="B10114" t="s">
        <v>16</v>
      </c>
      <c r="C10114" s="2">
        <f>HYPERLINK("https://sao.dolgi.msk.ru/account/1404127854/", 1404127854)</f>
        <v>1404127854</v>
      </c>
      <c r="D10114">
        <v>-311.35000000000002</v>
      </c>
    </row>
    <row r="10115" spans="1:4" hidden="1" x14ac:dyDescent="0.25">
      <c r="A10115" t="s">
        <v>699</v>
      </c>
      <c r="B10115" t="s">
        <v>17</v>
      </c>
      <c r="C10115" s="2">
        <f>HYPERLINK("https://sao.dolgi.msk.ru/account/1404128005/", 1404128005)</f>
        <v>1404128005</v>
      </c>
      <c r="D10115">
        <v>0</v>
      </c>
    </row>
    <row r="10116" spans="1:4" hidden="1" x14ac:dyDescent="0.25">
      <c r="A10116" t="s">
        <v>699</v>
      </c>
      <c r="B10116" t="s">
        <v>18</v>
      </c>
      <c r="C10116" s="2">
        <f>HYPERLINK("https://sao.dolgi.msk.ru/account/1404128312/", 1404128312)</f>
        <v>1404128312</v>
      </c>
      <c r="D10116">
        <v>-6409.92</v>
      </c>
    </row>
    <row r="10117" spans="1:4" hidden="1" x14ac:dyDescent="0.25">
      <c r="A10117" t="s">
        <v>699</v>
      </c>
      <c r="B10117" t="s">
        <v>19</v>
      </c>
      <c r="C10117" s="2">
        <f>HYPERLINK("https://sao.dolgi.msk.ru/account/1404128654/", 1404128654)</f>
        <v>1404128654</v>
      </c>
      <c r="D10117">
        <v>-4768.8100000000004</v>
      </c>
    </row>
    <row r="10118" spans="1:4" hidden="1" x14ac:dyDescent="0.25">
      <c r="A10118" t="s">
        <v>699</v>
      </c>
      <c r="B10118" t="s">
        <v>20</v>
      </c>
      <c r="C10118" s="2">
        <f>HYPERLINK("https://sao.dolgi.msk.ru/account/1404128144/", 1404128144)</f>
        <v>1404128144</v>
      </c>
      <c r="D10118">
        <v>-3651.5</v>
      </c>
    </row>
    <row r="10119" spans="1:4" hidden="1" x14ac:dyDescent="0.25">
      <c r="A10119" t="s">
        <v>699</v>
      </c>
      <c r="B10119" t="s">
        <v>21</v>
      </c>
      <c r="C10119" s="2">
        <f>HYPERLINK("https://sao.dolgi.msk.ru/account/1404128486/", 1404128486)</f>
        <v>1404128486</v>
      </c>
      <c r="D10119">
        <v>-1551.56</v>
      </c>
    </row>
    <row r="10120" spans="1:4" hidden="1" x14ac:dyDescent="0.25">
      <c r="A10120" t="s">
        <v>699</v>
      </c>
      <c r="B10120" t="s">
        <v>22</v>
      </c>
      <c r="C10120" s="2">
        <f>HYPERLINK("https://sao.dolgi.msk.ru/account/1404128013/", 1404128013)</f>
        <v>1404128013</v>
      </c>
      <c r="D10120">
        <v>-5715.97</v>
      </c>
    </row>
    <row r="10121" spans="1:4" hidden="1" x14ac:dyDescent="0.25">
      <c r="A10121" t="s">
        <v>699</v>
      </c>
      <c r="B10121" t="s">
        <v>23</v>
      </c>
      <c r="C10121" s="2">
        <f>HYPERLINK("https://sao.dolgi.msk.ru/account/1404128152/", 1404128152)</f>
        <v>1404128152</v>
      </c>
      <c r="D10121">
        <v>-5480.57</v>
      </c>
    </row>
    <row r="10122" spans="1:4" hidden="1" x14ac:dyDescent="0.25">
      <c r="A10122" t="s">
        <v>699</v>
      </c>
      <c r="B10122" t="s">
        <v>24</v>
      </c>
      <c r="C10122" s="2">
        <f>HYPERLINK("https://sao.dolgi.msk.ru/account/1404128494/", 1404128494)</f>
        <v>1404128494</v>
      </c>
      <c r="D10122">
        <v>-5100.3100000000004</v>
      </c>
    </row>
    <row r="10123" spans="1:4" hidden="1" x14ac:dyDescent="0.25">
      <c r="A10123" t="s">
        <v>699</v>
      </c>
      <c r="B10123" t="s">
        <v>25</v>
      </c>
      <c r="C10123" s="2">
        <f>HYPERLINK("https://sao.dolgi.msk.ru/account/1404128662/", 1404128662)</f>
        <v>1404128662</v>
      </c>
      <c r="D10123">
        <v>-373.66</v>
      </c>
    </row>
    <row r="10124" spans="1:4" x14ac:dyDescent="0.25">
      <c r="A10124" t="s">
        <v>699</v>
      </c>
      <c r="B10124" t="s">
        <v>26</v>
      </c>
      <c r="C10124" s="2">
        <f>HYPERLINK("https://sao.dolgi.msk.ru/account/1404128689/", 1404128689)</f>
        <v>1404128689</v>
      </c>
      <c r="D10124">
        <v>6476.63</v>
      </c>
    </row>
    <row r="10125" spans="1:4" hidden="1" x14ac:dyDescent="0.25">
      <c r="A10125" t="s">
        <v>699</v>
      </c>
      <c r="B10125" t="s">
        <v>27</v>
      </c>
      <c r="C10125" s="2">
        <f>HYPERLINK("https://sao.dolgi.msk.ru/account/1404128507/", 1404128507)</f>
        <v>1404128507</v>
      </c>
      <c r="D10125">
        <v>-3197.74</v>
      </c>
    </row>
    <row r="10126" spans="1:4" hidden="1" x14ac:dyDescent="0.25">
      <c r="A10126" t="s">
        <v>699</v>
      </c>
      <c r="B10126" t="s">
        <v>28</v>
      </c>
      <c r="C10126" s="2">
        <f>HYPERLINK("https://sao.dolgi.msk.ru/account/1404127862/", 1404127862)</f>
        <v>1404127862</v>
      </c>
      <c r="D10126">
        <v>-4271.78</v>
      </c>
    </row>
    <row r="10127" spans="1:4" hidden="1" x14ac:dyDescent="0.25">
      <c r="A10127" t="s">
        <v>699</v>
      </c>
      <c r="B10127" t="s">
        <v>29</v>
      </c>
      <c r="C10127" s="2">
        <f>HYPERLINK("https://sao.dolgi.msk.ru/account/1404128515/", 1404128515)</f>
        <v>1404128515</v>
      </c>
      <c r="D10127">
        <v>0</v>
      </c>
    </row>
    <row r="10128" spans="1:4" hidden="1" x14ac:dyDescent="0.25">
      <c r="A10128" t="s">
        <v>699</v>
      </c>
      <c r="B10128" t="s">
        <v>30</v>
      </c>
      <c r="C10128" s="2">
        <f>HYPERLINK("https://sao.dolgi.msk.ru/account/1404128371/", 1404128371)</f>
        <v>1404128371</v>
      </c>
      <c r="D10128">
        <v>-170.98</v>
      </c>
    </row>
    <row r="10129" spans="1:4" x14ac:dyDescent="0.25">
      <c r="A10129" t="s">
        <v>699</v>
      </c>
      <c r="B10129" t="s">
        <v>31</v>
      </c>
      <c r="C10129" s="2">
        <f>HYPERLINK("https://sao.dolgi.msk.ru/account/1404127889/", 1404127889)</f>
        <v>1404127889</v>
      </c>
      <c r="D10129">
        <v>4164.28</v>
      </c>
    </row>
    <row r="10130" spans="1:4" hidden="1" x14ac:dyDescent="0.25">
      <c r="A10130" t="s">
        <v>699</v>
      </c>
      <c r="B10130" t="s">
        <v>32</v>
      </c>
      <c r="C10130" s="2">
        <f>HYPERLINK("https://sao.dolgi.msk.ru/account/1404128224/", 1404128224)</f>
        <v>1404128224</v>
      </c>
      <c r="D10130">
        <v>-2196.35</v>
      </c>
    </row>
    <row r="10131" spans="1:4" x14ac:dyDescent="0.25">
      <c r="A10131" t="s">
        <v>699</v>
      </c>
      <c r="B10131" t="s">
        <v>33</v>
      </c>
      <c r="C10131" s="2">
        <f>HYPERLINK("https://sao.dolgi.msk.ru/account/1404128697/", 1404128697)</f>
        <v>1404128697</v>
      </c>
      <c r="D10131">
        <v>3007.53</v>
      </c>
    </row>
    <row r="10132" spans="1:4" hidden="1" x14ac:dyDescent="0.25">
      <c r="A10132" t="s">
        <v>699</v>
      </c>
      <c r="B10132" t="s">
        <v>34</v>
      </c>
      <c r="C10132" s="2">
        <f>HYPERLINK("https://sao.dolgi.msk.ru/account/1404128398/", 1404128398)</f>
        <v>1404128398</v>
      </c>
      <c r="D10132">
        <v>-4959.2</v>
      </c>
    </row>
    <row r="10133" spans="1:4" hidden="1" x14ac:dyDescent="0.25">
      <c r="A10133" t="s">
        <v>699</v>
      </c>
      <c r="B10133" t="s">
        <v>35</v>
      </c>
      <c r="C10133" s="2">
        <f>HYPERLINK("https://sao.dolgi.msk.ru/account/1404128531/", 1404128531)</f>
        <v>1404128531</v>
      </c>
      <c r="D10133">
        <v>0</v>
      </c>
    </row>
    <row r="10134" spans="1:4" x14ac:dyDescent="0.25">
      <c r="A10134" t="s">
        <v>699</v>
      </c>
      <c r="B10134" t="s">
        <v>36</v>
      </c>
      <c r="C10134" s="2">
        <f>HYPERLINK("https://sao.dolgi.msk.ru/account/1404128179/", 1404128179)</f>
        <v>1404128179</v>
      </c>
      <c r="D10134">
        <v>10378.299999999999</v>
      </c>
    </row>
    <row r="10135" spans="1:4" hidden="1" x14ac:dyDescent="0.25">
      <c r="A10135" t="s">
        <v>699</v>
      </c>
      <c r="B10135" t="s">
        <v>37</v>
      </c>
      <c r="C10135" s="2">
        <f>HYPERLINK("https://sao.dolgi.msk.ru/account/1404128419/", 1404128419)</f>
        <v>1404128419</v>
      </c>
      <c r="D10135">
        <v>-1927.15</v>
      </c>
    </row>
    <row r="10136" spans="1:4" hidden="1" x14ac:dyDescent="0.25">
      <c r="A10136" t="s">
        <v>699</v>
      </c>
      <c r="B10136" t="s">
        <v>38</v>
      </c>
      <c r="C10136" s="2">
        <f>HYPERLINK("https://sao.dolgi.msk.ru/account/1404128427/", 1404128427)</f>
        <v>1404128427</v>
      </c>
      <c r="D10136">
        <v>-5060</v>
      </c>
    </row>
    <row r="10137" spans="1:4" hidden="1" x14ac:dyDescent="0.25">
      <c r="A10137" t="s">
        <v>699</v>
      </c>
      <c r="B10137" t="s">
        <v>39</v>
      </c>
      <c r="C10137" s="2">
        <f>HYPERLINK("https://sao.dolgi.msk.ru/account/1404128048/", 1404128048)</f>
        <v>1404128048</v>
      </c>
      <c r="D10137">
        <v>-7286.61</v>
      </c>
    </row>
    <row r="10138" spans="1:4" hidden="1" x14ac:dyDescent="0.25">
      <c r="A10138" t="s">
        <v>699</v>
      </c>
      <c r="B10138" t="s">
        <v>40</v>
      </c>
      <c r="C10138" s="2">
        <f>HYPERLINK("https://sao.dolgi.msk.ru/account/1404128232/", 1404128232)</f>
        <v>1404128232</v>
      </c>
      <c r="D10138">
        <v>-2239.66</v>
      </c>
    </row>
    <row r="10139" spans="1:4" x14ac:dyDescent="0.25">
      <c r="A10139" t="s">
        <v>699</v>
      </c>
      <c r="B10139" t="s">
        <v>41</v>
      </c>
      <c r="C10139" s="2">
        <f>HYPERLINK("https://sao.dolgi.msk.ru/account/1404128259/", 1404128259)</f>
        <v>1404128259</v>
      </c>
      <c r="D10139">
        <v>5259.89</v>
      </c>
    </row>
    <row r="10140" spans="1:4" hidden="1" x14ac:dyDescent="0.25">
      <c r="A10140" t="s">
        <v>699</v>
      </c>
      <c r="B10140" t="s">
        <v>42</v>
      </c>
      <c r="C10140" s="2">
        <f>HYPERLINK("https://sao.dolgi.msk.ru/account/1404127897/", 1404127897)</f>
        <v>1404127897</v>
      </c>
      <c r="D10140">
        <v>-5874.43</v>
      </c>
    </row>
    <row r="10141" spans="1:4" hidden="1" x14ac:dyDescent="0.25">
      <c r="A10141" t="s">
        <v>699</v>
      </c>
      <c r="B10141" t="s">
        <v>43</v>
      </c>
      <c r="C10141" s="2">
        <f>HYPERLINK("https://sao.dolgi.msk.ru/account/1404128339/", 1404128339)</f>
        <v>1404128339</v>
      </c>
      <c r="D10141">
        <v>-5955.71</v>
      </c>
    </row>
    <row r="10142" spans="1:4" hidden="1" x14ac:dyDescent="0.25">
      <c r="A10142" t="s">
        <v>699</v>
      </c>
      <c r="B10142" t="s">
        <v>44</v>
      </c>
      <c r="C10142" s="2">
        <f>HYPERLINK("https://sao.dolgi.msk.ru/account/1404128435/", 1404128435)</f>
        <v>1404128435</v>
      </c>
      <c r="D10142">
        <v>-5057.47</v>
      </c>
    </row>
    <row r="10143" spans="1:4" hidden="1" x14ac:dyDescent="0.25">
      <c r="A10143" t="s">
        <v>699</v>
      </c>
      <c r="B10143" t="s">
        <v>45</v>
      </c>
      <c r="C10143" s="2">
        <f>HYPERLINK("https://sao.dolgi.msk.ru/account/1404128187/", 1404128187)</f>
        <v>1404128187</v>
      </c>
      <c r="D10143">
        <v>-2878.48</v>
      </c>
    </row>
    <row r="10144" spans="1:4" hidden="1" x14ac:dyDescent="0.25">
      <c r="A10144" t="s">
        <v>699</v>
      </c>
      <c r="B10144" t="s">
        <v>46</v>
      </c>
      <c r="C10144" s="2">
        <f>HYPERLINK("https://sao.dolgi.msk.ru/account/1404128275/", 1404128275)</f>
        <v>1404128275</v>
      </c>
      <c r="D10144">
        <v>-6731.34</v>
      </c>
    </row>
    <row r="10145" spans="1:4" hidden="1" x14ac:dyDescent="0.25">
      <c r="A10145" t="s">
        <v>699</v>
      </c>
      <c r="B10145" t="s">
        <v>47</v>
      </c>
      <c r="C10145" s="2">
        <f>HYPERLINK("https://sao.dolgi.msk.ru/account/1404128347/", 1404128347)</f>
        <v>1404128347</v>
      </c>
      <c r="D10145">
        <v>-2486.34</v>
      </c>
    </row>
    <row r="10146" spans="1:4" hidden="1" x14ac:dyDescent="0.25">
      <c r="A10146" t="s">
        <v>699</v>
      </c>
      <c r="B10146" t="s">
        <v>48</v>
      </c>
      <c r="C10146" s="2">
        <f>HYPERLINK("https://sao.dolgi.msk.ru/account/1404127918/", 1404127918)</f>
        <v>1404127918</v>
      </c>
      <c r="D10146">
        <v>-3604.38</v>
      </c>
    </row>
    <row r="10147" spans="1:4" hidden="1" x14ac:dyDescent="0.25">
      <c r="A10147" t="s">
        <v>699</v>
      </c>
      <c r="B10147" t="s">
        <v>49</v>
      </c>
      <c r="C10147" s="2">
        <f>HYPERLINK("https://sao.dolgi.msk.ru/account/1404128136/", 1404128136)</f>
        <v>1404128136</v>
      </c>
      <c r="D10147">
        <v>-1543.25</v>
      </c>
    </row>
    <row r="10148" spans="1:4" hidden="1" x14ac:dyDescent="0.25">
      <c r="A10148" t="s">
        <v>699</v>
      </c>
      <c r="B10148" t="s">
        <v>49</v>
      </c>
      <c r="C10148" s="2">
        <f>HYPERLINK("https://sao.dolgi.msk.ru/account/1404128558/", 1404128558)</f>
        <v>1404128558</v>
      </c>
      <c r="D10148">
        <v>-2494.0500000000002</v>
      </c>
    </row>
    <row r="10149" spans="1:4" hidden="1" x14ac:dyDescent="0.25">
      <c r="A10149" t="s">
        <v>699</v>
      </c>
      <c r="B10149" t="s">
        <v>50</v>
      </c>
      <c r="C10149" s="2">
        <f>HYPERLINK("https://sao.dolgi.msk.ru/account/1404128195/", 1404128195)</f>
        <v>1404128195</v>
      </c>
      <c r="D10149">
        <v>0</v>
      </c>
    </row>
    <row r="10150" spans="1:4" hidden="1" x14ac:dyDescent="0.25">
      <c r="A10150" t="s">
        <v>699</v>
      </c>
      <c r="B10150" t="s">
        <v>51</v>
      </c>
      <c r="C10150" s="2">
        <f>HYPERLINK("https://sao.dolgi.msk.ru/account/1404128718/", 1404128718)</f>
        <v>1404128718</v>
      </c>
      <c r="D10150">
        <v>-2554.33</v>
      </c>
    </row>
    <row r="10151" spans="1:4" hidden="1" x14ac:dyDescent="0.25">
      <c r="A10151" t="s">
        <v>699</v>
      </c>
      <c r="B10151" t="s">
        <v>52</v>
      </c>
      <c r="C10151" s="2">
        <f>HYPERLINK("https://sao.dolgi.msk.ru/account/1404128283/", 1404128283)</f>
        <v>1404128283</v>
      </c>
      <c r="D10151">
        <v>0</v>
      </c>
    </row>
    <row r="10152" spans="1:4" hidden="1" x14ac:dyDescent="0.25">
      <c r="A10152" t="s">
        <v>699</v>
      </c>
      <c r="B10152" t="s">
        <v>53</v>
      </c>
      <c r="C10152" s="2">
        <f>HYPERLINK("https://sao.dolgi.msk.ru/account/1404128208/", 1404128208)</f>
        <v>1404128208</v>
      </c>
      <c r="D10152">
        <v>-2810.31</v>
      </c>
    </row>
    <row r="10153" spans="1:4" hidden="1" x14ac:dyDescent="0.25">
      <c r="A10153" t="s">
        <v>699</v>
      </c>
      <c r="B10153" t="s">
        <v>54</v>
      </c>
      <c r="C10153" s="2">
        <f>HYPERLINK("https://sao.dolgi.msk.ru/account/1404128443/", 1404128443)</f>
        <v>1404128443</v>
      </c>
      <c r="D10153">
        <v>0</v>
      </c>
    </row>
    <row r="10154" spans="1:4" hidden="1" x14ac:dyDescent="0.25">
      <c r="A10154" t="s">
        <v>699</v>
      </c>
      <c r="B10154" t="s">
        <v>55</v>
      </c>
      <c r="C10154" s="2">
        <f>HYPERLINK("https://sao.dolgi.msk.ru/account/1404128064/", 1404128064)</f>
        <v>1404128064</v>
      </c>
      <c r="D10154">
        <v>0</v>
      </c>
    </row>
    <row r="10155" spans="1:4" hidden="1" x14ac:dyDescent="0.25">
      <c r="A10155" t="s">
        <v>699</v>
      </c>
      <c r="B10155" t="s">
        <v>56</v>
      </c>
      <c r="C10155" s="2">
        <f>HYPERLINK("https://sao.dolgi.msk.ru/account/1404128451/", 1404128451)</f>
        <v>1404128451</v>
      </c>
      <c r="D10155">
        <v>-2857.62</v>
      </c>
    </row>
    <row r="10156" spans="1:4" hidden="1" x14ac:dyDescent="0.25">
      <c r="A10156" t="s">
        <v>699</v>
      </c>
      <c r="B10156" t="s">
        <v>57</v>
      </c>
      <c r="C10156" s="2">
        <f>HYPERLINK("https://sao.dolgi.msk.ru/account/1404127926/", 1404127926)</f>
        <v>1404127926</v>
      </c>
      <c r="D10156">
        <v>-3256.92</v>
      </c>
    </row>
    <row r="10157" spans="1:4" hidden="1" x14ac:dyDescent="0.25">
      <c r="A10157" t="s">
        <v>699</v>
      </c>
      <c r="B10157" t="s">
        <v>58</v>
      </c>
      <c r="C10157" s="2">
        <f>HYPERLINK("https://sao.dolgi.msk.ru/account/1404128566/", 1404128566)</f>
        <v>1404128566</v>
      </c>
      <c r="D10157">
        <v>-7844.13</v>
      </c>
    </row>
    <row r="10158" spans="1:4" hidden="1" x14ac:dyDescent="0.25">
      <c r="A10158" t="s">
        <v>699</v>
      </c>
      <c r="B10158" t="s">
        <v>59</v>
      </c>
      <c r="C10158" s="2">
        <f>HYPERLINK("https://sao.dolgi.msk.ru/account/1404128291/", 1404128291)</f>
        <v>1404128291</v>
      </c>
      <c r="D10158">
        <v>-2533.12</v>
      </c>
    </row>
    <row r="10159" spans="1:4" hidden="1" x14ac:dyDescent="0.25">
      <c r="A10159" t="s">
        <v>699</v>
      </c>
      <c r="B10159" t="s">
        <v>60</v>
      </c>
      <c r="C10159" s="2">
        <f>HYPERLINK("https://sao.dolgi.msk.ru/account/1404128726/", 1404128726)</f>
        <v>1404128726</v>
      </c>
      <c r="D10159">
        <v>0</v>
      </c>
    </row>
    <row r="10160" spans="1:4" hidden="1" x14ac:dyDescent="0.25">
      <c r="A10160" t="s">
        <v>699</v>
      </c>
      <c r="B10160" t="s">
        <v>61</v>
      </c>
      <c r="C10160" s="2">
        <f>HYPERLINK("https://sao.dolgi.msk.ru/account/1404127934/", 1404127934)</f>
        <v>1404127934</v>
      </c>
      <c r="D10160">
        <v>-5708.08</v>
      </c>
    </row>
    <row r="10161" spans="1:4" hidden="1" x14ac:dyDescent="0.25">
      <c r="A10161" t="s">
        <v>699</v>
      </c>
      <c r="B10161" t="s">
        <v>62</v>
      </c>
      <c r="C10161" s="2">
        <f>HYPERLINK("https://sao.dolgi.msk.ru/account/1404128574/", 1404128574)</f>
        <v>1404128574</v>
      </c>
      <c r="D10161">
        <v>0</v>
      </c>
    </row>
    <row r="10162" spans="1:4" hidden="1" x14ac:dyDescent="0.25">
      <c r="A10162" t="s">
        <v>699</v>
      </c>
      <c r="B10162" t="s">
        <v>63</v>
      </c>
      <c r="C10162" s="2">
        <f>HYPERLINK("https://sao.dolgi.msk.ru/account/1404128304/", 1404128304)</f>
        <v>1404128304</v>
      </c>
      <c r="D10162">
        <v>-6266.22</v>
      </c>
    </row>
    <row r="10163" spans="1:4" hidden="1" x14ac:dyDescent="0.25">
      <c r="A10163" t="s">
        <v>699</v>
      </c>
      <c r="B10163" t="s">
        <v>64</v>
      </c>
      <c r="C10163" s="2">
        <f>HYPERLINK("https://sao.dolgi.msk.ru/account/1404127969/", 1404127969)</f>
        <v>1404127969</v>
      </c>
      <c r="D10163">
        <v>-3931.29</v>
      </c>
    </row>
    <row r="10164" spans="1:4" hidden="1" x14ac:dyDescent="0.25">
      <c r="A10164" t="s">
        <v>699</v>
      </c>
      <c r="B10164" t="s">
        <v>65</v>
      </c>
      <c r="C10164" s="2">
        <f>HYPERLINK("https://sao.dolgi.msk.ru/account/1404128072/", 1404128072)</f>
        <v>1404128072</v>
      </c>
      <c r="D10164">
        <v>-3127.96</v>
      </c>
    </row>
    <row r="10165" spans="1:4" hidden="1" x14ac:dyDescent="0.25">
      <c r="A10165" t="s">
        <v>699</v>
      </c>
      <c r="B10165" t="s">
        <v>66</v>
      </c>
      <c r="C10165" s="2">
        <f>HYPERLINK("https://sao.dolgi.msk.ru/account/1404128099/", 1404128099)</f>
        <v>1404128099</v>
      </c>
      <c r="D10165">
        <v>0</v>
      </c>
    </row>
    <row r="10166" spans="1:4" hidden="1" x14ac:dyDescent="0.25">
      <c r="A10166" t="s">
        <v>699</v>
      </c>
      <c r="B10166" t="s">
        <v>67</v>
      </c>
      <c r="C10166" s="2">
        <f>HYPERLINK("https://sao.dolgi.msk.ru/account/1404128582/", 1404128582)</f>
        <v>1404128582</v>
      </c>
      <c r="D10166">
        <v>-472.28</v>
      </c>
    </row>
    <row r="10167" spans="1:4" hidden="1" x14ac:dyDescent="0.25">
      <c r="A10167" t="s">
        <v>699</v>
      </c>
      <c r="B10167" t="s">
        <v>68</v>
      </c>
      <c r="C10167" s="2">
        <f>HYPERLINK("https://sao.dolgi.msk.ru/account/1404128478/", 1404128478)</f>
        <v>1404128478</v>
      </c>
      <c r="D10167">
        <v>-305.77</v>
      </c>
    </row>
    <row r="10168" spans="1:4" hidden="1" x14ac:dyDescent="0.25">
      <c r="A10168" t="s">
        <v>699</v>
      </c>
      <c r="B10168" t="s">
        <v>69</v>
      </c>
      <c r="C10168" s="2">
        <f>HYPERLINK("https://sao.dolgi.msk.ru/account/1404128101/", 1404128101)</f>
        <v>1404128101</v>
      </c>
      <c r="D10168">
        <v>0</v>
      </c>
    </row>
    <row r="10169" spans="1:4" hidden="1" x14ac:dyDescent="0.25">
      <c r="A10169" t="s">
        <v>699</v>
      </c>
      <c r="B10169" t="s">
        <v>70</v>
      </c>
      <c r="C10169" s="2">
        <f>HYPERLINK("https://sao.dolgi.msk.ru/account/1404128128/", 1404128128)</f>
        <v>1404128128</v>
      </c>
      <c r="D10169">
        <v>-2834.27</v>
      </c>
    </row>
    <row r="10170" spans="1:4" hidden="1" x14ac:dyDescent="0.25">
      <c r="A10170" t="s">
        <v>699</v>
      </c>
      <c r="B10170" t="s">
        <v>71</v>
      </c>
      <c r="C10170" s="2">
        <f>HYPERLINK("https://sao.dolgi.msk.ru/account/1404127977/", 1404127977)</f>
        <v>1404127977</v>
      </c>
      <c r="D10170">
        <v>-6057</v>
      </c>
    </row>
    <row r="10171" spans="1:4" hidden="1" x14ac:dyDescent="0.25">
      <c r="A10171" t="s">
        <v>699</v>
      </c>
      <c r="B10171" t="s">
        <v>72</v>
      </c>
      <c r="C10171" s="2">
        <f>HYPERLINK("https://sao.dolgi.msk.ru/account/1404127985/", 1404127985)</f>
        <v>1404127985</v>
      </c>
      <c r="D10171">
        <v>0</v>
      </c>
    </row>
    <row r="10172" spans="1:4" hidden="1" x14ac:dyDescent="0.25">
      <c r="A10172" t="s">
        <v>699</v>
      </c>
      <c r="B10172" t="s">
        <v>73</v>
      </c>
      <c r="C10172" s="2">
        <f>HYPERLINK("https://sao.dolgi.msk.ru/account/1404128603/", 1404128603)</f>
        <v>1404128603</v>
      </c>
      <c r="D10172">
        <v>-428.82</v>
      </c>
    </row>
    <row r="10173" spans="1:4" hidden="1" x14ac:dyDescent="0.25">
      <c r="A10173" t="s">
        <v>699</v>
      </c>
      <c r="B10173" t="s">
        <v>74</v>
      </c>
      <c r="C10173" s="2">
        <f>HYPERLINK("https://sao.dolgi.msk.ru/account/1404128611/", 1404128611)</f>
        <v>1404128611</v>
      </c>
      <c r="D10173">
        <v>-4487.67</v>
      </c>
    </row>
    <row r="10174" spans="1:4" hidden="1" x14ac:dyDescent="0.25">
      <c r="A10174" t="s">
        <v>699</v>
      </c>
      <c r="B10174" t="s">
        <v>75</v>
      </c>
      <c r="C10174" s="2">
        <f>HYPERLINK("https://sao.dolgi.msk.ru/account/1404128638/", 1404128638)</f>
        <v>1404128638</v>
      </c>
      <c r="D10174">
        <v>-6939.22</v>
      </c>
    </row>
    <row r="10175" spans="1:4" hidden="1" x14ac:dyDescent="0.25">
      <c r="A10175" t="s">
        <v>699</v>
      </c>
      <c r="B10175" t="s">
        <v>76</v>
      </c>
      <c r="C10175" s="2">
        <f>HYPERLINK("https://sao.dolgi.msk.ru/account/1404127993/", 1404127993)</f>
        <v>1404127993</v>
      </c>
      <c r="D10175">
        <v>-3746.49</v>
      </c>
    </row>
    <row r="10176" spans="1:4" hidden="1" x14ac:dyDescent="0.25">
      <c r="A10176" t="s">
        <v>700</v>
      </c>
      <c r="B10176" t="s">
        <v>5</v>
      </c>
      <c r="C10176" s="2">
        <f>HYPERLINK("https://sao.dolgi.msk.ru/account/1404129008/", 1404129008)</f>
        <v>1404129008</v>
      </c>
      <c r="D10176">
        <v>-9256.52</v>
      </c>
    </row>
    <row r="10177" spans="1:4" hidden="1" x14ac:dyDescent="0.25">
      <c r="A10177" t="s">
        <v>700</v>
      </c>
      <c r="B10177" t="s">
        <v>6</v>
      </c>
      <c r="C10177" s="2">
        <f>HYPERLINK("https://sao.dolgi.msk.ru/account/1404129542/", 1404129542)</f>
        <v>1404129542</v>
      </c>
      <c r="D10177">
        <v>-5537.42</v>
      </c>
    </row>
    <row r="10178" spans="1:4" hidden="1" x14ac:dyDescent="0.25">
      <c r="A10178" t="s">
        <v>700</v>
      </c>
      <c r="B10178" t="s">
        <v>7</v>
      </c>
      <c r="C10178" s="2">
        <f>HYPERLINK("https://sao.dolgi.msk.ru/account/1404129489/", 1404129489)</f>
        <v>1404129489</v>
      </c>
      <c r="D10178">
        <v>-8777.68</v>
      </c>
    </row>
    <row r="10179" spans="1:4" x14ac:dyDescent="0.25">
      <c r="A10179" t="s">
        <v>700</v>
      </c>
      <c r="B10179" t="s">
        <v>8</v>
      </c>
      <c r="C10179" s="2">
        <f>HYPERLINK("https://sao.dolgi.msk.ru/account/1404128945/", 1404128945)</f>
        <v>1404128945</v>
      </c>
      <c r="D10179">
        <v>7619.29</v>
      </c>
    </row>
    <row r="10180" spans="1:4" hidden="1" x14ac:dyDescent="0.25">
      <c r="A10180" t="s">
        <v>700</v>
      </c>
      <c r="B10180" t="s">
        <v>9</v>
      </c>
      <c r="C10180" s="2">
        <f>HYPERLINK("https://sao.dolgi.msk.ru/account/1404129606/", 1404129606)</f>
        <v>1404129606</v>
      </c>
      <c r="D10180">
        <v>-31611.9</v>
      </c>
    </row>
    <row r="10181" spans="1:4" hidden="1" x14ac:dyDescent="0.25">
      <c r="A10181" t="s">
        <v>700</v>
      </c>
      <c r="B10181" t="s">
        <v>10</v>
      </c>
      <c r="C10181" s="2">
        <f>HYPERLINK("https://sao.dolgi.msk.ru/account/1404129139/", 1404129139)</f>
        <v>1404129139</v>
      </c>
      <c r="D10181">
        <v>-3772.05</v>
      </c>
    </row>
    <row r="10182" spans="1:4" x14ac:dyDescent="0.25">
      <c r="A10182" t="s">
        <v>700</v>
      </c>
      <c r="B10182" t="s">
        <v>11</v>
      </c>
      <c r="C10182" s="2">
        <f>HYPERLINK("https://sao.dolgi.msk.ru/account/1404128988/", 1404128988)</f>
        <v>1404128988</v>
      </c>
      <c r="D10182">
        <v>4909.21</v>
      </c>
    </row>
    <row r="10183" spans="1:4" hidden="1" x14ac:dyDescent="0.25">
      <c r="A10183" t="s">
        <v>700</v>
      </c>
      <c r="B10183" t="s">
        <v>12</v>
      </c>
      <c r="C10183" s="2">
        <f>HYPERLINK("https://sao.dolgi.msk.ru/account/1404128865/", 1404128865)</f>
        <v>1404128865</v>
      </c>
      <c r="D10183">
        <v>-2050.0700000000002</v>
      </c>
    </row>
    <row r="10184" spans="1:4" hidden="1" x14ac:dyDescent="0.25">
      <c r="A10184" t="s">
        <v>700</v>
      </c>
      <c r="B10184" t="s">
        <v>13</v>
      </c>
      <c r="C10184" s="2">
        <f>HYPERLINK("https://sao.dolgi.msk.ru/account/1404128996/", 1404128996)</f>
        <v>1404128996</v>
      </c>
      <c r="D10184">
        <v>-2314.19</v>
      </c>
    </row>
    <row r="10185" spans="1:4" x14ac:dyDescent="0.25">
      <c r="A10185" t="s">
        <v>700</v>
      </c>
      <c r="B10185" t="s">
        <v>14</v>
      </c>
      <c r="C10185" s="2">
        <f>HYPERLINK("https://sao.dolgi.msk.ru/account/1404129315/", 1404129315)</f>
        <v>1404129315</v>
      </c>
      <c r="D10185">
        <v>30964.07</v>
      </c>
    </row>
    <row r="10186" spans="1:4" hidden="1" x14ac:dyDescent="0.25">
      <c r="A10186" t="s">
        <v>700</v>
      </c>
      <c r="B10186" t="s">
        <v>15</v>
      </c>
      <c r="C10186" s="2">
        <f>HYPERLINK("https://sao.dolgi.msk.ru/account/1404129016/", 1404129016)</f>
        <v>1404129016</v>
      </c>
      <c r="D10186">
        <v>-5243.69</v>
      </c>
    </row>
    <row r="10187" spans="1:4" hidden="1" x14ac:dyDescent="0.25">
      <c r="A10187" t="s">
        <v>700</v>
      </c>
      <c r="B10187" t="s">
        <v>16</v>
      </c>
      <c r="C10187" s="2">
        <f>HYPERLINK("https://sao.dolgi.msk.ru/account/1404129024/", 1404129024)</f>
        <v>1404129024</v>
      </c>
      <c r="D10187">
        <v>-5483.7</v>
      </c>
    </row>
    <row r="10188" spans="1:4" hidden="1" x14ac:dyDescent="0.25">
      <c r="A10188" t="s">
        <v>700</v>
      </c>
      <c r="B10188" t="s">
        <v>17</v>
      </c>
      <c r="C10188" s="2">
        <f>HYPERLINK("https://sao.dolgi.msk.ru/account/1404129323/", 1404129323)</f>
        <v>1404129323</v>
      </c>
      <c r="D10188">
        <v>-2971.31</v>
      </c>
    </row>
    <row r="10189" spans="1:4" x14ac:dyDescent="0.25">
      <c r="A10189" t="s">
        <v>700</v>
      </c>
      <c r="B10189" t="s">
        <v>18</v>
      </c>
      <c r="C10189" s="2">
        <f>HYPERLINK("https://sao.dolgi.msk.ru/account/1404129235/", 1404129235)</f>
        <v>1404129235</v>
      </c>
      <c r="D10189">
        <v>5846.88</v>
      </c>
    </row>
    <row r="10190" spans="1:4" hidden="1" x14ac:dyDescent="0.25">
      <c r="A10190" t="s">
        <v>700</v>
      </c>
      <c r="B10190" t="s">
        <v>19</v>
      </c>
      <c r="C10190" s="2">
        <f>HYPERLINK("https://sao.dolgi.msk.ru/account/1404129032/", 1404129032)</f>
        <v>1404129032</v>
      </c>
      <c r="D10190">
        <v>-217.19</v>
      </c>
    </row>
    <row r="10191" spans="1:4" hidden="1" x14ac:dyDescent="0.25">
      <c r="A10191" t="s">
        <v>700</v>
      </c>
      <c r="B10191" t="s">
        <v>20</v>
      </c>
      <c r="C10191" s="2">
        <f>HYPERLINK("https://sao.dolgi.msk.ru/account/1404129331/", 1404129331)</f>
        <v>1404129331</v>
      </c>
      <c r="D10191">
        <v>-4824.55</v>
      </c>
    </row>
    <row r="10192" spans="1:4" x14ac:dyDescent="0.25">
      <c r="A10192" t="s">
        <v>700</v>
      </c>
      <c r="B10192" t="s">
        <v>21</v>
      </c>
      <c r="C10192" s="2">
        <f>HYPERLINK("https://sao.dolgi.msk.ru/account/1404129059/", 1404129059)</f>
        <v>1404129059</v>
      </c>
      <c r="D10192">
        <v>4406.32</v>
      </c>
    </row>
    <row r="10193" spans="1:4" hidden="1" x14ac:dyDescent="0.25">
      <c r="A10193" t="s">
        <v>700</v>
      </c>
      <c r="B10193" t="s">
        <v>22</v>
      </c>
      <c r="C10193" s="2">
        <f>HYPERLINK("https://sao.dolgi.msk.ru/account/1404129454/", 1404129454)</f>
        <v>1404129454</v>
      </c>
      <c r="D10193">
        <v>-7916.18</v>
      </c>
    </row>
    <row r="10194" spans="1:4" hidden="1" x14ac:dyDescent="0.25">
      <c r="A10194" t="s">
        <v>700</v>
      </c>
      <c r="B10194" t="s">
        <v>23</v>
      </c>
      <c r="C10194" s="2">
        <f>HYPERLINK("https://sao.dolgi.msk.ru/account/1404129358/", 1404129358)</f>
        <v>1404129358</v>
      </c>
      <c r="D10194">
        <v>-5516.07</v>
      </c>
    </row>
    <row r="10195" spans="1:4" hidden="1" x14ac:dyDescent="0.25">
      <c r="A10195" t="s">
        <v>700</v>
      </c>
      <c r="B10195" t="s">
        <v>24</v>
      </c>
      <c r="C10195" s="2">
        <f>HYPERLINK("https://sao.dolgi.msk.ru/account/1404129243/", 1404129243)</f>
        <v>1404129243</v>
      </c>
      <c r="D10195">
        <v>-3759.36</v>
      </c>
    </row>
    <row r="10196" spans="1:4" hidden="1" x14ac:dyDescent="0.25">
      <c r="A10196" t="s">
        <v>700</v>
      </c>
      <c r="B10196" t="s">
        <v>25</v>
      </c>
      <c r="C10196" s="2">
        <f>HYPERLINK("https://sao.dolgi.msk.ru/account/1404128734/", 1404128734)</f>
        <v>1404128734</v>
      </c>
      <c r="D10196">
        <v>-3126.11</v>
      </c>
    </row>
    <row r="10197" spans="1:4" x14ac:dyDescent="0.25">
      <c r="A10197" t="s">
        <v>700</v>
      </c>
      <c r="B10197" t="s">
        <v>26</v>
      </c>
      <c r="C10197" s="2">
        <f>HYPERLINK("https://sao.dolgi.msk.ru/account/1404128881/", 1404128881)</f>
        <v>1404128881</v>
      </c>
      <c r="D10197">
        <v>4883.95</v>
      </c>
    </row>
    <row r="10198" spans="1:4" hidden="1" x14ac:dyDescent="0.25">
      <c r="A10198" t="s">
        <v>700</v>
      </c>
      <c r="B10198" t="s">
        <v>27</v>
      </c>
      <c r="C10198" s="2">
        <f>HYPERLINK("https://sao.dolgi.msk.ru/account/1404128902/", 1404128902)</f>
        <v>1404128902</v>
      </c>
      <c r="D10198">
        <v>-2865.76</v>
      </c>
    </row>
    <row r="10199" spans="1:4" hidden="1" x14ac:dyDescent="0.25">
      <c r="A10199" t="s">
        <v>700</v>
      </c>
      <c r="B10199" t="s">
        <v>28</v>
      </c>
      <c r="C10199" s="2">
        <f>HYPERLINK("https://sao.dolgi.msk.ru/account/1404129147/", 1404129147)</f>
        <v>1404129147</v>
      </c>
      <c r="D10199">
        <v>-5587.41</v>
      </c>
    </row>
    <row r="10200" spans="1:4" hidden="1" x14ac:dyDescent="0.25">
      <c r="A10200" t="s">
        <v>700</v>
      </c>
      <c r="B10200" t="s">
        <v>29</v>
      </c>
      <c r="C10200" s="2">
        <f>HYPERLINK("https://sao.dolgi.msk.ru/account/1404129067/", 1404129067)</f>
        <v>1404129067</v>
      </c>
      <c r="D10200">
        <v>0</v>
      </c>
    </row>
    <row r="10201" spans="1:4" hidden="1" x14ac:dyDescent="0.25">
      <c r="A10201" t="s">
        <v>700</v>
      </c>
      <c r="B10201" t="s">
        <v>30</v>
      </c>
      <c r="C10201" s="2">
        <f>HYPERLINK("https://sao.dolgi.msk.ru/account/1404129075/", 1404129075)</f>
        <v>1404129075</v>
      </c>
      <c r="D10201">
        <v>-4644.6000000000004</v>
      </c>
    </row>
    <row r="10202" spans="1:4" x14ac:dyDescent="0.25">
      <c r="A10202" t="s">
        <v>700</v>
      </c>
      <c r="B10202" t="s">
        <v>31</v>
      </c>
      <c r="C10202" s="2">
        <f>HYPERLINK("https://sao.dolgi.msk.ru/account/1404129374/", 1404129374)</f>
        <v>1404129374</v>
      </c>
      <c r="D10202">
        <v>8999.67</v>
      </c>
    </row>
    <row r="10203" spans="1:4" hidden="1" x14ac:dyDescent="0.25">
      <c r="A10203" t="s">
        <v>700</v>
      </c>
      <c r="B10203" t="s">
        <v>32</v>
      </c>
      <c r="C10203" s="2">
        <f>HYPERLINK("https://sao.dolgi.msk.ru/account/1404129462/", 1404129462)</f>
        <v>1404129462</v>
      </c>
      <c r="D10203">
        <v>-4315.09</v>
      </c>
    </row>
    <row r="10204" spans="1:4" hidden="1" x14ac:dyDescent="0.25">
      <c r="A10204" t="s">
        <v>700</v>
      </c>
      <c r="B10204" t="s">
        <v>33</v>
      </c>
      <c r="C10204" s="2">
        <f>HYPERLINK("https://sao.dolgi.msk.ru/account/1404129569/", 1404129569)</f>
        <v>1404129569</v>
      </c>
      <c r="D10204">
        <v>0</v>
      </c>
    </row>
    <row r="10205" spans="1:4" x14ac:dyDescent="0.25">
      <c r="A10205" t="s">
        <v>700</v>
      </c>
      <c r="B10205" t="s">
        <v>34</v>
      </c>
      <c r="C10205" s="2">
        <f>HYPERLINK("https://sao.dolgi.msk.ru/account/1404128742/", 1404128742)</f>
        <v>1404128742</v>
      </c>
      <c r="D10205">
        <v>24024.84</v>
      </c>
    </row>
    <row r="10206" spans="1:4" hidden="1" x14ac:dyDescent="0.25">
      <c r="A10206" t="s">
        <v>700</v>
      </c>
      <c r="B10206" t="s">
        <v>35</v>
      </c>
      <c r="C10206" s="2">
        <f>HYPERLINK("https://sao.dolgi.msk.ru/account/1404128929/", 1404128929)</f>
        <v>1404128929</v>
      </c>
      <c r="D10206">
        <v>0</v>
      </c>
    </row>
    <row r="10207" spans="1:4" hidden="1" x14ac:dyDescent="0.25">
      <c r="A10207" t="s">
        <v>700</v>
      </c>
      <c r="B10207" t="s">
        <v>36</v>
      </c>
      <c r="C10207" s="2">
        <f>HYPERLINK("https://sao.dolgi.msk.ru/account/1404129577/", 1404129577)</f>
        <v>1404129577</v>
      </c>
      <c r="D10207">
        <v>-7569.25</v>
      </c>
    </row>
    <row r="10208" spans="1:4" hidden="1" x14ac:dyDescent="0.25">
      <c r="A10208" t="s">
        <v>700</v>
      </c>
      <c r="B10208" t="s">
        <v>37</v>
      </c>
      <c r="C10208" s="2">
        <f>HYPERLINK("https://sao.dolgi.msk.ru/account/1404129083/", 1404129083)</f>
        <v>1404129083</v>
      </c>
      <c r="D10208">
        <v>-1822.88</v>
      </c>
    </row>
    <row r="10209" spans="1:4" hidden="1" x14ac:dyDescent="0.25">
      <c r="A10209" t="s">
        <v>700</v>
      </c>
      <c r="B10209" t="s">
        <v>38</v>
      </c>
      <c r="C10209" s="2">
        <f>HYPERLINK("https://sao.dolgi.msk.ru/account/1404129585/", 1404129585)</f>
        <v>1404129585</v>
      </c>
      <c r="D10209">
        <v>0</v>
      </c>
    </row>
    <row r="10210" spans="1:4" hidden="1" x14ac:dyDescent="0.25">
      <c r="A10210" t="s">
        <v>700</v>
      </c>
      <c r="B10210" t="s">
        <v>39</v>
      </c>
      <c r="C10210" s="2">
        <f>HYPERLINK("https://sao.dolgi.msk.ru/account/1404129155/", 1404129155)</f>
        <v>1404129155</v>
      </c>
      <c r="D10210">
        <v>-117.96</v>
      </c>
    </row>
    <row r="10211" spans="1:4" x14ac:dyDescent="0.25">
      <c r="A10211" t="s">
        <v>700</v>
      </c>
      <c r="B10211" t="s">
        <v>40</v>
      </c>
      <c r="C10211" s="2">
        <f>HYPERLINK("https://sao.dolgi.msk.ru/account/1404128769/", 1404128769)</f>
        <v>1404128769</v>
      </c>
      <c r="D10211">
        <v>165362.68</v>
      </c>
    </row>
    <row r="10212" spans="1:4" hidden="1" x14ac:dyDescent="0.25">
      <c r="A10212" t="s">
        <v>700</v>
      </c>
      <c r="B10212" t="s">
        <v>41</v>
      </c>
      <c r="C10212" s="2">
        <f>HYPERLINK("https://sao.dolgi.msk.ru/account/1404129382/", 1404129382)</f>
        <v>1404129382</v>
      </c>
      <c r="D10212">
        <v>-4976.8599999999997</v>
      </c>
    </row>
    <row r="10213" spans="1:4" hidden="1" x14ac:dyDescent="0.25">
      <c r="A10213" t="s">
        <v>700</v>
      </c>
      <c r="B10213" t="s">
        <v>42</v>
      </c>
      <c r="C10213" s="2">
        <f>HYPERLINK("https://sao.dolgi.msk.ru/account/1404129251/", 1404129251)</f>
        <v>1404129251</v>
      </c>
      <c r="D10213">
        <v>-4337.6000000000004</v>
      </c>
    </row>
    <row r="10214" spans="1:4" hidden="1" x14ac:dyDescent="0.25">
      <c r="A10214" t="s">
        <v>700</v>
      </c>
      <c r="B10214" t="s">
        <v>43</v>
      </c>
      <c r="C10214" s="2">
        <f>HYPERLINK("https://sao.dolgi.msk.ru/account/1404128937/", 1404128937)</f>
        <v>1404128937</v>
      </c>
      <c r="D10214">
        <v>-5928.54</v>
      </c>
    </row>
    <row r="10215" spans="1:4" hidden="1" x14ac:dyDescent="0.25">
      <c r="A10215" t="s">
        <v>700</v>
      </c>
      <c r="B10215" t="s">
        <v>44</v>
      </c>
      <c r="C10215" s="2">
        <f>HYPERLINK("https://sao.dolgi.msk.ru/account/1404129163/", 1404129163)</f>
        <v>1404129163</v>
      </c>
      <c r="D10215">
        <v>-8406.76</v>
      </c>
    </row>
    <row r="10216" spans="1:4" hidden="1" x14ac:dyDescent="0.25">
      <c r="A10216" t="s">
        <v>700</v>
      </c>
      <c r="B10216" t="s">
        <v>45</v>
      </c>
      <c r="C10216" s="2">
        <f>HYPERLINK("https://sao.dolgi.msk.ru/account/1404129091/", 1404129091)</f>
        <v>1404129091</v>
      </c>
      <c r="D10216">
        <v>-4916.33</v>
      </c>
    </row>
    <row r="10217" spans="1:4" hidden="1" x14ac:dyDescent="0.25">
      <c r="A10217" t="s">
        <v>700</v>
      </c>
      <c r="B10217" t="s">
        <v>46</v>
      </c>
      <c r="C10217" s="2">
        <f>HYPERLINK("https://sao.dolgi.msk.ru/account/1404129104/", 1404129104)</f>
        <v>1404129104</v>
      </c>
      <c r="D10217">
        <v>-2641.41</v>
      </c>
    </row>
    <row r="10218" spans="1:4" hidden="1" x14ac:dyDescent="0.25">
      <c r="A10218" t="s">
        <v>700</v>
      </c>
      <c r="B10218" t="s">
        <v>47</v>
      </c>
      <c r="C10218" s="2">
        <f>HYPERLINK("https://sao.dolgi.msk.ru/account/1404129403/", 1404129403)</f>
        <v>1404129403</v>
      </c>
      <c r="D10218">
        <v>-2853.86</v>
      </c>
    </row>
    <row r="10219" spans="1:4" hidden="1" x14ac:dyDescent="0.25">
      <c r="A10219" t="s">
        <v>700</v>
      </c>
      <c r="B10219" t="s">
        <v>48</v>
      </c>
      <c r="C10219" s="2">
        <f>HYPERLINK("https://sao.dolgi.msk.ru/account/1404129278/", 1404129278)</f>
        <v>1404129278</v>
      </c>
      <c r="D10219">
        <v>-5377.29</v>
      </c>
    </row>
    <row r="10220" spans="1:4" hidden="1" x14ac:dyDescent="0.25">
      <c r="A10220" t="s">
        <v>700</v>
      </c>
      <c r="B10220" t="s">
        <v>49</v>
      </c>
      <c r="C10220" s="2">
        <f>HYPERLINK("https://sao.dolgi.msk.ru/account/1404129286/", 1404129286)</f>
        <v>1404129286</v>
      </c>
      <c r="D10220">
        <v>-7180.69</v>
      </c>
    </row>
    <row r="10221" spans="1:4" hidden="1" x14ac:dyDescent="0.25">
      <c r="A10221" t="s">
        <v>700</v>
      </c>
      <c r="B10221" t="s">
        <v>50</v>
      </c>
      <c r="C10221" s="2">
        <f>HYPERLINK("https://sao.dolgi.msk.ru/account/1404129171/", 1404129171)</f>
        <v>1404129171</v>
      </c>
      <c r="D10221">
        <v>-4065.81</v>
      </c>
    </row>
    <row r="10222" spans="1:4" hidden="1" x14ac:dyDescent="0.25">
      <c r="A10222" t="s">
        <v>700</v>
      </c>
      <c r="B10222" t="s">
        <v>51</v>
      </c>
      <c r="C10222" s="2">
        <f>HYPERLINK("https://sao.dolgi.msk.ru/account/1404129112/", 1404129112)</f>
        <v>1404129112</v>
      </c>
      <c r="D10222">
        <v>-16101.72</v>
      </c>
    </row>
    <row r="10223" spans="1:4" hidden="1" x14ac:dyDescent="0.25">
      <c r="A10223" t="s">
        <v>700</v>
      </c>
      <c r="B10223" t="s">
        <v>52</v>
      </c>
      <c r="C10223" s="2">
        <f>HYPERLINK("https://sao.dolgi.msk.ru/account/1404129593/", 1404129593)</f>
        <v>1404129593</v>
      </c>
      <c r="D10223">
        <v>-3789.2</v>
      </c>
    </row>
    <row r="10224" spans="1:4" hidden="1" x14ac:dyDescent="0.25">
      <c r="A10224" t="s">
        <v>700</v>
      </c>
      <c r="B10224" t="s">
        <v>53</v>
      </c>
      <c r="C10224" s="2">
        <f>HYPERLINK("https://sao.dolgi.msk.ru/account/1404129198/", 1404129198)</f>
        <v>1404129198</v>
      </c>
      <c r="D10224">
        <v>-3728.54</v>
      </c>
    </row>
    <row r="10225" spans="1:4" hidden="1" x14ac:dyDescent="0.25">
      <c r="A10225" t="s">
        <v>700</v>
      </c>
      <c r="B10225" t="s">
        <v>54</v>
      </c>
      <c r="C10225" s="2">
        <f>HYPERLINK("https://sao.dolgi.msk.ru/account/1404129497/", 1404129497)</f>
        <v>1404129497</v>
      </c>
      <c r="D10225">
        <v>-6089.11</v>
      </c>
    </row>
    <row r="10226" spans="1:4" hidden="1" x14ac:dyDescent="0.25">
      <c r="A10226" t="s">
        <v>700</v>
      </c>
      <c r="B10226" t="s">
        <v>55</v>
      </c>
      <c r="C10226" s="2">
        <f>HYPERLINK("https://sao.dolgi.msk.ru/account/1404128953/", 1404128953)</f>
        <v>1404128953</v>
      </c>
      <c r="D10226">
        <v>-864.14</v>
      </c>
    </row>
    <row r="10227" spans="1:4" hidden="1" x14ac:dyDescent="0.25">
      <c r="A10227" t="s">
        <v>700</v>
      </c>
      <c r="B10227" t="s">
        <v>56</v>
      </c>
      <c r="C10227" s="2">
        <f>HYPERLINK("https://sao.dolgi.msk.ru/account/1404128777/", 1404128777)</f>
        <v>1404128777</v>
      </c>
      <c r="D10227">
        <v>-2578.87</v>
      </c>
    </row>
    <row r="10228" spans="1:4" hidden="1" x14ac:dyDescent="0.25">
      <c r="A10228" t="s">
        <v>700</v>
      </c>
      <c r="B10228" t="s">
        <v>57</v>
      </c>
      <c r="C10228" s="2">
        <f>HYPERLINK("https://sao.dolgi.msk.ru/account/1404129411/", 1404129411)</f>
        <v>1404129411</v>
      </c>
      <c r="D10228">
        <v>-6973.86</v>
      </c>
    </row>
    <row r="10229" spans="1:4" hidden="1" x14ac:dyDescent="0.25">
      <c r="A10229" t="s">
        <v>700</v>
      </c>
      <c r="B10229" t="s">
        <v>58</v>
      </c>
      <c r="C10229" s="2">
        <f>HYPERLINK("https://sao.dolgi.msk.ru/account/1404129614/", 1404129614)</f>
        <v>1404129614</v>
      </c>
      <c r="D10229">
        <v>-4475.5</v>
      </c>
    </row>
    <row r="10230" spans="1:4" hidden="1" x14ac:dyDescent="0.25">
      <c r="A10230" t="s">
        <v>700</v>
      </c>
      <c r="B10230" t="s">
        <v>59</v>
      </c>
      <c r="C10230" s="2">
        <f>HYPERLINK("https://sao.dolgi.msk.ru/account/1404129438/", 1404129438)</f>
        <v>1404129438</v>
      </c>
      <c r="D10230">
        <v>-3265.15</v>
      </c>
    </row>
    <row r="10231" spans="1:4" hidden="1" x14ac:dyDescent="0.25">
      <c r="A10231" t="s">
        <v>700</v>
      </c>
      <c r="B10231" t="s">
        <v>60</v>
      </c>
      <c r="C10231" s="2">
        <f>HYPERLINK("https://sao.dolgi.msk.ru/account/1404129518/", 1404129518)</f>
        <v>1404129518</v>
      </c>
      <c r="D10231">
        <v>-4097.33</v>
      </c>
    </row>
    <row r="10232" spans="1:4" hidden="1" x14ac:dyDescent="0.25">
      <c r="A10232" t="s">
        <v>700</v>
      </c>
      <c r="B10232" t="s">
        <v>61</v>
      </c>
      <c r="C10232" s="2">
        <f>HYPERLINK("https://sao.dolgi.msk.ru/account/1404129622/", 1404129622)</f>
        <v>1404129622</v>
      </c>
      <c r="D10232">
        <v>-3554.42</v>
      </c>
    </row>
    <row r="10233" spans="1:4" hidden="1" x14ac:dyDescent="0.25">
      <c r="A10233" t="s">
        <v>700</v>
      </c>
      <c r="B10233" t="s">
        <v>62</v>
      </c>
      <c r="C10233" s="2">
        <f>HYPERLINK("https://sao.dolgi.msk.ru/account/1404129446/", 1404129446)</f>
        <v>1404129446</v>
      </c>
      <c r="D10233">
        <v>-2398.1</v>
      </c>
    </row>
    <row r="10234" spans="1:4" hidden="1" x14ac:dyDescent="0.25">
      <c r="A10234" t="s">
        <v>700</v>
      </c>
      <c r="B10234" t="s">
        <v>63</v>
      </c>
      <c r="C10234" s="2">
        <f>HYPERLINK("https://sao.dolgi.msk.ru/account/1404128785/", 1404128785)</f>
        <v>1404128785</v>
      </c>
      <c r="D10234">
        <v>-432.07</v>
      </c>
    </row>
    <row r="10235" spans="1:4" hidden="1" x14ac:dyDescent="0.25">
      <c r="A10235" t="s">
        <v>700</v>
      </c>
      <c r="B10235" t="s">
        <v>64</v>
      </c>
      <c r="C10235" s="2">
        <f>HYPERLINK("https://sao.dolgi.msk.ru/account/1404129526/", 1404129526)</f>
        <v>1404129526</v>
      </c>
      <c r="D10235">
        <v>-5155.3100000000004</v>
      </c>
    </row>
    <row r="10236" spans="1:4" hidden="1" x14ac:dyDescent="0.25">
      <c r="A10236" t="s">
        <v>700</v>
      </c>
      <c r="B10236" t="s">
        <v>65</v>
      </c>
      <c r="C10236" s="2">
        <f>HYPERLINK("https://sao.dolgi.msk.ru/account/1404129534/", 1404129534)</f>
        <v>1404129534</v>
      </c>
      <c r="D10236">
        <v>-5425.29</v>
      </c>
    </row>
    <row r="10237" spans="1:4" hidden="1" x14ac:dyDescent="0.25">
      <c r="A10237" t="s">
        <v>700</v>
      </c>
      <c r="B10237" t="s">
        <v>66</v>
      </c>
      <c r="C10237" s="2">
        <f>HYPERLINK("https://sao.dolgi.msk.ru/account/1404128961/", 1404128961)</f>
        <v>1404128961</v>
      </c>
      <c r="D10237">
        <v>0</v>
      </c>
    </row>
    <row r="10238" spans="1:4" hidden="1" x14ac:dyDescent="0.25">
      <c r="A10238" t="s">
        <v>700</v>
      </c>
      <c r="B10238" t="s">
        <v>67</v>
      </c>
      <c r="C10238" s="2">
        <f>HYPERLINK("https://sao.dolgi.msk.ru/account/1404129219/", 1404129219)</f>
        <v>1404129219</v>
      </c>
      <c r="D10238">
        <v>-3961.65</v>
      </c>
    </row>
    <row r="10239" spans="1:4" hidden="1" x14ac:dyDescent="0.25">
      <c r="A10239" t="s">
        <v>700</v>
      </c>
      <c r="B10239" t="s">
        <v>68</v>
      </c>
      <c r="C10239" s="2">
        <f>HYPERLINK("https://sao.dolgi.msk.ru/account/1404128793/", 1404128793)</f>
        <v>1404128793</v>
      </c>
      <c r="D10239">
        <v>-1169.08</v>
      </c>
    </row>
    <row r="10240" spans="1:4" hidden="1" x14ac:dyDescent="0.25">
      <c r="A10240" t="s">
        <v>700</v>
      </c>
      <c r="B10240" t="s">
        <v>69</v>
      </c>
      <c r="C10240" s="2">
        <f>HYPERLINK("https://sao.dolgi.msk.ru/account/1404128806/", 1404128806)</f>
        <v>1404128806</v>
      </c>
      <c r="D10240">
        <v>-2740.72</v>
      </c>
    </row>
    <row r="10241" spans="1:4" hidden="1" x14ac:dyDescent="0.25">
      <c r="A10241" t="s">
        <v>700</v>
      </c>
      <c r="B10241" t="s">
        <v>70</v>
      </c>
      <c r="C10241" s="2">
        <f>HYPERLINK("https://sao.dolgi.msk.ru/account/1404128814/", 1404128814)</f>
        <v>1404128814</v>
      </c>
      <c r="D10241">
        <v>-5588.25</v>
      </c>
    </row>
    <row r="10242" spans="1:4" x14ac:dyDescent="0.25">
      <c r="A10242" t="s">
        <v>700</v>
      </c>
      <c r="B10242" t="s">
        <v>71</v>
      </c>
      <c r="C10242" s="2">
        <f>HYPERLINK("https://sao.dolgi.msk.ru/account/1404129294/", 1404129294)</f>
        <v>1404129294</v>
      </c>
      <c r="D10242">
        <v>43112.3</v>
      </c>
    </row>
    <row r="10243" spans="1:4" hidden="1" x14ac:dyDescent="0.25">
      <c r="A10243" t="s">
        <v>700</v>
      </c>
      <c r="B10243" t="s">
        <v>72</v>
      </c>
      <c r="C10243" s="2">
        <f>HYPERLINK("https://sao.dolgi.msk.ru/account/1404129307/", 1404129307)</f>
        <v>1404129307</v>
      </c>
      <c r="D10243">
        <v>-4369.5</v>
      </c>
    </row>
    <row r="10244" spans="1:4" hidden="1" x14ac:dyDescent="0.25">
      <c r="A10244" t="s">
        <v>700</v>
      </c>
      <c r="B10244" t="s">
        <v>73</v>
      </c>
      <c r="C10244" s="2">
        <f>HYPERLINK("https://sao.dolgi.msk.ru/account/1404128822/", 1404128822)</f>
        <v>1404128822</v>
      </c>
      <c r="D10244">
        <v>0</v>
      </c>
    </row>
    <row r="10245" spans="1:4" hidden="1" x14ac:dyDescent="0.25">
      <c r="A10245" t="s">
        <v>700</v>
      </c>
      <c r="B10245" t="s">
        <v>74</v>
      </c>
      <c r="C10245" s="2">
        <f>HYPERLINK("https://sao.dolgi.msk.ru/account/1404128849/", 1404128849)</f>
        <v>1404128849</v>
      </c>
      <c r="D10245">
        <v>-524.14</v>
      </c>
    </row>
    <row r="10246" spans="1:4" hidden="1" x14ac:dyDescent="0.25">
      <c r="A10246" t="s">
        <v>700</v>
      </c>
      <c r="B10246" t="s">
        <v>75</v>
      </c>
      <c r="C10246" s="2">
        <f>HYPERLINK("https://sao.dolgi.msk.ru/account/1404129227/", 1404129227)</f>
        <v>1404129227</v>
      </c>
      <c r="D10246">
        <v>0</v>
      </c>
    </row>
    <row r="10247" spans="1:4" hidden="1" x14ac:dyDescent="0.25">
      <c r="A10247" t="s">
        <v>700</v>
      </c>
      <c r="B10247" t="s">
        <v>76</v>
      </c>
      <c r="C10247" s="2">
        <f>HYPERLINK("https://sao.dolgi.msk.ru/account/1404128857/", 1404128857)</f>
        <v>1404128857</v>
      </c>
      <c r="D10247">
        <v>-2980.24</v>
      </c>
    </row>
    <row r="10248" spans="1:4" hidden="1" x14ac:dyDescent="0.25">
      <c r="A10248" t="s">
        <v>701</v>
      </c>
      <c r="B10248" t="s">
        <v>5</v>
      </c>
      <c r="C10248" s="2">
        <f>HYPERLINK("https://sao.dolgi.msk.ru/account/1404282205/", 1404282205)</f>
        <v>1404282205</v>
      </c>
      <c r="D10248">
        <v>0</v>
      </c>
    </row>
    <row r="10249" spans="1:4" x14ac:dyDescent="0.25">
      <c r="A10249" t="s">
        <v>701</v>
      </c>
      <c r="B10249" t="s">
        <v>6</v>
      </c>
      <c r="C10249" s="2">
        <f>HYPERLINK("https://sao.dolgi.msk.ru/account/1404282176/", 1404282176)</f>
        <v>1404282176</v>
      </c>
      <c r="D10249">
        <v>3280.2</v>
      </c>
    </row>
    <row r="10250" spans="1:4" hidden="1" x14ac:dyDescent="0.25">
      <c r="A10250" t="s">
        <v>701</v>
      </c>
      <c r="B10250" t="s">
        <v>7</v>
      </c>
      <c r="C10250" s="2">
        <f>HYPERLINK("https://sao.dolgi.msk.ru/account/1404280533/", 1404280533)</f>
        <v>1404280533</v>
      </c>
      <c r="D10250">
        <v>-3404.37</v>
      </c>
    </row>
    <row r="10251" spans="1:4" hidden="1" x14ac:dyDescent="0.25">
      <c r="A10251" t="s">
        <v>701</v>
      </c>
      <c r="B10251" t="s">
        <v>8</v>
      </c>
      <c r="C10251" s="2">
        <f>HYPERLINK("https://sao.dolgi.msk.ru/account/1404279372/", 1404279372)</f>
        <v>1404279372</v>
      </c>
      <c r="D10251">
        <v>0</v>
      </c>
    </row>
    <row r="10252" spans="1:4" hidden="1" x14ac:dyDescent="0.25">
      <c r="A10252" t="s">
        <v>701</v>
      </c>
      <c r="B10252" t="s">
        <v>9</v>
      </c>
      <c r="C10252" s="2">
        <f>HYPERLINK("https://sao.dolgi.msk.ru/account/1404281544/", 1404281544)</f>
        <v>1404281544</v>
      </c>
      <c r="D10252">
        <v>-10828.34</v>
      </c>
    </row>
    <row r="10253" spans="1:4" hidden="1" x14ac:dyDescent="0.25">
      <c r="A10253" t="s">
        <v>701</v>
      </c>
      <c r="B10253" t="s">
        <v>10</v>
      </c>
      <c r="C10253" s="2">
        <f>HYPERLINK("https://sao.dolgi.msk.ru/account/1404281843/", 1404281843)</f>
        <v>1404281843</v>
      </c>
      <c r="D10253">
        <v>-2761.62</v>
      </c>
    </row>
    <row r="10254" spans="1:4" hidden="1" x14ac:dyDescent="0.25">
      <c r="A10254" t="s">
        <v>701</v>
      </c>
      <c r="B10254" t="s">
        <v>10</v>
      </c>
      <c r="C10254" s="2">
        <f>HYPERLINK("https://sao.dolgi.msk.ru/account/1404282213/", 1404282213)</f>
        <v>1404282213</v>
      </c>
      <c r="D10254">
        <v>-4772.7700000000004</v>
      </c>
    </row>
    <row r="10255" spans="1:4" hidden="1" x14ac:dyDescent="0.25">
      <c r="A10255" t="s">
        <v>701</v>
      </c>
      <c r="B10255" t="s">
        <v>11</v>
      </c>
      <c r="C10255" s="2">
        <f>HYPERLINK("https://sao.dolgi.msk.ru/account/1404279938/", 1404279938)</f>
        <v>1404279938</v>
      </c>
      <c r="D10255">
        <v>-8190.82</v>
      </c>
    </row>
    <row r="10256" spans="1:4" hidden="1" x14ac:dyDescent="0.25">
      <c r="A10256" t="s">
        <v>701</v>
      </c>
      <c r="B10256" t="s">
        <v>12</v>
      </c>
      <c r="C10256" s="2">
        <f>HYPERLINK("https://sao.dolgi.msk.ru/account/1404282416/", 1404282416)</f>
        <v>1404282416</v>
      </c>
      <c r="D10256">
        <v>-10209.84</v>
      </c>
    </row>
    <row r="10257" spans="1:4" hidden="1" x14ac:dyDescent="0.25">
      <c r="A10257" t="s">
        <v>701</v>
      </c>
      <c r="B10257" t="s">
        <v>13</v>
      </c>
      <c r="C10257" s="2">
        <f>HYPERLINK("https://sao.dolgi.msk.ru/account/1404282053/", 1404282053)</f>
        <v>1404282053</v>
      </c>
      <c r="D10257">
        <v>-6795.8</v>
      </c>
    </row>
    <row r="10258" spans="1:4" hidden="1" x14ac:dyDescent="0.25">
      <c r="A10258" t="s">
        <v>701</v>
      </c>
      <c r="B10258" t="s">
        <v>14</v>
      </c>
      <c r="C10258" s="2">
        <f>HYPERLINK("https://sao.dolgi.msk.ru/account/1404281392/", 1404281392)</f>
        <v>1404281392</v>
      </c>
      <c r="D10258">
        <v>0</v>
      </c>
    </row>
    <row r="10259" spans="1:4" hidden="1" x14ac:dyDescent="0.25">
      <c r="A10259" t="s">
        <v>701</v>
      </c>
      <c r="B10259" t="s">
        <v>15</v>
      </c>
      <c r="C10259" s="2">
        <f>HYPERLINK("https://sao.dolgi.msk.ru/account/1404281405/", 1404281405)</f>
        <v>1404281405</v>
      </c>
      <c r="D10259">
        <v>-12605.53</v>
      </c>
    </row>
    <row r="10260" spans="1:4" hidden="1" x14ac:dyDescent="0.25">
      <c r="A10260" t="s">
        <v>701</v>
      </c>
      <c r="B10260" t="s">
        <v>16</v>
      </c>
      <c r="C10260" s="2">
        <f>HYPERLINK("https://sao.dolgi.msk.ru/account/1404280736/", 1404280736)</f>
        <v>1404280736</v>
      </c>
      <c r="D10260">
        <v>-6944.13</v>
      </c>
    </row>
    <row r="10261" spans="1:4" hidden="1" x14ac:dyDescent="0.25">
      <c r="A10261" t="s">
        <v>701</v>
      </c>
      <c r="B10261" t="s">
        <v>17</v>
      </c>
      <c r="C10261" s="2">
        <f>HYPERLINK("https://sao.dolgi.msk.ru/account/1404281595/", 1404281595)</f>
        <v>1404281595</v>
      </c>
      <c r="D10261">
        <v>0</v>
      </c>
    </row>
    <row r="10262" spans="1:4" x14ac:dyDescent="0.25">
      <c r="A10262" t="s">
        <v>701</v>
      </c>
      <c r="B10262" t="s">
        <v>18</v>
      </c>
      <c r="C10262" s="2">
        <f>HYPERLINK("https://sao.dolgi.msk.ru/account/1404282627/", 1404282627)</f>
        <v>1404282627</v>
      </c>
      <c r="D10262">
        <v>20467.599999999999</v>
      </c>
    </row>
    <row r="10263" spans="1:4" hidden="1" x14ac:dyDescent="0.25">
      <c r="A10263" t="s">
        <v>701</v>
      </c>
      <c r="B10263" t="s">
        <v>19</v>
      </c>
      <c r="C10263" s="2">
        <f>HYPERLINK("https://sao.dolgi.msk.ru/account/1404280138/", 1404280138)</f>
        <v>1404280138</v>
      </c>
      <c r="D10263">
        <v>0</v>
      </c>
    </row>
    <row r="10264" spans="1:4" x14ac:dyDescent="0.25">
      <c r="A10264" t="s">
        <v>701</v>
      </c>
      <c r="B10264" t="s">
        <v>20</v>
      </c>
      <c r="C10264" s="2">
        <f>HYPERLINK("https://sao.dolgi.msk.ru/account/1404281819/", 1404281819)</f>
        <v>1404281819</v>
      </c>
      <c r="D10264">
        <v>36594.53</v>
      </c>
    </row>
    <row r="10265" spans="1:4" hidden="1" x14ac:dyDescent="0.25">
      <c r="A10265" t="s">
        <v>701</v>
      </c>
      <c r="B10265" t="s">
        <v>21</v>
      </c>
      <c r="C10265" s="2">
        <f>HYPERLINK("https://sao.dolgi.msk.ru/account/1404279882/", 1404279882)</f>
        <v>1404279882</v>
      </c>
      <c r="D10265">
        <v>-1290.8399999999999</v>
      </c>
    </row>
    <row r="10266" spans="1:4" hidden="1" x14ac:dyDescent="0.25">
      <c r="A10266" t="s">
        <v>701</v>
      </c>
      <c r="B10266" t="s">
        <v>22</v>
      </c>
      <c r="C10266" s="2">
        <f>HYPERLINK("https://sao.dolgi.msk.ru/account/1404281579/", 1404281579)</f>
        <v>1404281579</v>
      </c>
      <c r="D10266">
        <v>0</v>
      </c>
    </row>
    <row r="10267" spans="1:4" x14ac:dyDescent="0.25">
      <c r="A10267" t="s">
        <v>701</v>
      </c>
      <c r="B10267" t="s">
        <v>23</v>
      </c>
      <c r="C10267" s="2">
        <f>HYPERLINK("https://sao.dolgi.msk.ru/account/1404279524/", 1404279524)</f>
        <v>1404279524</v>
      </c>
      <c r="D10267">
        <v>7096.47</v>
      </c>
    </row>
    <row r="10268" spans="1:4" hidden="1" x14ac:dyDescent="0.25">
      <c r="A10268" t="s">
        <v>701</v>
      </c>
      <c r="B10268" t="s">
        <v>24</v>
      </c>
      <c r="C10268" s="2">
        <f>HYPERLINK("https://sao.dolgi.msk.ru/account/1404281835/", 1404281835)</f>
        <v>1404281835</v>
      </c>
      <c r="D10268">
        <v>0</v>
      </c>
    </row>
    <row r="10269" spans="1:4" hidden="1" x14ac:dyDescent="0.25">
      <c r="A10269" t="s">
        <v>701</v>
      </c>
      <c r="B10269" t="s">
        <v>25</v>
      </c>
      <c r="C10269" s="2">
        <f>HYPERLINK("https://sao.dolgi.msk.ru/account/1404282248/", 1404282248)</f>
        <v>1404282248</v>
      </c>
      <c r="D10269">
        <v>0</v>
      </c>
    </row>
    <row r="10270" spans="1:4" hidden="1" x14ac:dyDescent="0.25">
      <c r="A10270" t="s">
        <v>701</v>
      </c>
      <c r="B10270" t="s">
        <v>26</v>
      </c>
      <c r="C10270" s="2">
        <f>HYPERLINK("https://sao.dolgi.msk.ru/account/1404280672/", 1404280672)</f>
        <v>1404280672</v>
      </c>
      <c r="D10270">
        <v>-4456.45</v>
      </c>
    </row>
    <row r="10271" spans="1:4" hidden="1" x14ac:dyDescent="0.25">
      <c r="A10271" t="s">
        <v>701</v>
      </c>
      <c r="B10271" t="s">
        <v>27</v>
      </c>
      <c r="C10271" s="2">
        <f>HYPERLINK("https://sao.dolgi.msk.ru/account/1404280015/", 1404280015)</f>
        <v>1404280015</v>
      </c>
      <c r="D10271">
        <v>-9440.4699999999993</v>
      </c>
    </row>
    <row r="10272" spans="1:4" hidden="1" x14ac:dyDescent="0.25">
      <c r="A10272" t="s">
        <v>701</v>
      </c>
      <c r="B10272" t="s">
        <v>28</v>
      </c>
      <c r="C10272" s="2">
        <f>HYPERLINK("https://sao.dolgi.msk.ru/account/1404279698/", 1404279698)</f>
        <v>1404279698</v>
      </c>
      <c r="D10272">
        <v>-5834.13</v>
      </c>
    </row>
    <row r="10273" spans="1:4" hidden="1" x14ac:dyDescent="0.25">
      <c r="A10273" t="s">
        <v>701</v>
      </c>
      <c r="B10273" t="s">
        <v>29</v>
      </c>
      <c r="C10273" s="2">
        <f>HYPERLINK("https://sao.dolgi.msk.ru/account/1404281093/", 1404281093)</f>
        <v>1404281093</v>
      </c>
      <c r="D10273">
        <v>0</v>
      </c>
    </row>
    <row r="10274" spans="1:4" x14ac:dyDescent="0.25">
      <c r="A10274" t="s">
        <v>701</v>
      </c>
      <c r="B10274" t="s">
        <v>30</v>
      </c>
      <c r="C10274" s="2">
        <f>HYPERLINK("https://sao.dolgi.msk.ru/account/1404282512/", 1404282512)</f>
        <v>1404282512</v>
      </c>
      <c r="D10274">
        <v>9091.98</v>
      </c>
    </row>
    <row r="10275" spans="1:4" hidden="1" x14ac:dyDescent="0.25">
      <c r="A10275" t="s">
        <v>701</v>
      </c>
      <c r="B10275" t="s">
        <v>31</v>
      </c>
      <c r="C10275" s="2">
        <f>HYPERLINK("https://sao.dolgi.msk.ru/account/1404282301/", 1404282301)</f>
        <v>1404282301</v>
      </c>
      <c r="D10275">
        <v>-3962.72</v>
      </c>
    </row>
    <row r="10276" spans="1:4" hidden="1" x14ac:dyDescent="0.25">
      <c r="A10276" t="s">
        <v>701</v>
      </c>
      <c r="B10276" t="s">
        <v>32</v>
      </c>
      <c r="C10276" s="2">
        <f>HYPERLINK("https://sao.dolgi.msk.ru/account/1404280568/", 1404280568)</f>
        <v>1404280568</v>
      </c>
      <c r="D10276">
        <v>-10432.91</v>
      </c>
    </row>
    <row r="10277" spans="1:4" hidden="1" x14ac:dyDescent="0.25">
      <c r="A10277" t="s">
        <v>701</v>
      </c>
      <c r="B10277" t="s">
        <v>33</v>
      </c>
      <c r="C10277" s="2">
        <f>HYPERLINK("https://sao.dolgi.msk.ru/account/1404281827/", 1404281827)</f>
        <v>1404281827</v>
      </c>
      <c r="D10277">
        <v>-11135.15</v>
      </c>
    </row>
    <row r="10278" spans="1:4" hidden="1" x14ac:dyDescent="0.25">
      <c r="A10278" t="s">
        <v>701</v>
      </c>
      <c r="B10278" t="s">
        <v>34</v>
      </c>
      <c r="C10278" s="2">
        <f>HYPERLINK("https://sao.dolgi.msk.ru/account/1404279727/", 1404279727)</f>
        <v>1404279727</v>
      </c>
      <c r="D10278">
        <v>-6428.46</v>
      </c>
    </row>
    <row r="10279" spans="1:4" hidden="1" x14ac:dyDescent="0.25">
      <c r="A10279" t="s">
        <v>701</v>
      </c>
      <c r="B10279" t="s">
        <v>35</v>
      </c>
      <c r="C10279" s="2">
        <f>HYPERLINK("https://sao.dolgi.msk.ru/account/1404280787/", 1404280787)</f>
        <v>1404280787</v>
      </c>
      <c r="D10279">
        <v>-6427.32</v>
      </c>
    </row>
    <row r="10280" spans="1:4" x14ac:dyDescent="0.25">
      <c r="A10280" t="s">
        <v>701</v>
      </c>
      <c r="B10280" t="s">
        <v>36</v>
      </c>
      <c r="C10280" s="2">
        <f>HYPERLINK("https://sao.dolgi.msk.ru/account/1404281106/", 1404281106)</f>
        <v>1404281106</v>
      </c>
      <c r="D10280">
        <v>7636.16</v>
      </c>
    </row>
    <row r="10281" spans="1:4" hidden="1" x14ac:dyDescent="0.25">
      <c r="A10281" t="s">
        <v>701</v>
      </c>
      <c r="B10281" t="s">
        <v>37</v>
      </c>
      <c r="C10281" s="2">
        <f>HYPERLINK("https://sao.dolgi.msk.ru/account/1404282045/", 1404282045)</f>
        <v>1404282045</v>
      </c>
      <c r="D10281">
        <v>0</v>
      </c>
    </row>
    <row r="10282" spans="1:4" hidden="1" x14ac:dyDescent="0.25">
      <c r="A10282" t="s">
        <v>701</v>
      </c>
      <c r="B10282" t="s">
        <v>38</v>
      </c>
      <c r="C10282" s="2">
        <f>HYPERLINK("https://sao.dolgi.msk.ru/account/1404280955/", 1404280955)</f>
        <v>1404280955</v>
      </c>
      <c r="D10282">
        <v>0</v>
      </c>
    </row>
    <row r="10283" spans="1:4" hidden="1" x14ac:dyDescent="0.25">
      <c r="A10283" t="s">
        <v>701</v>
      </c>
      <c r="B10283" t="s">
        <v>39</v>
      </c>
      <c r="C10283" s="2">
        <f>HYPERLINK("https://sao.dolgi.msk.ru/account/1404282141/", 1404282141)</f>
        <v>1404282141</v>
      </c>
      <c r="D10283">
        <v>0</v>
      </c>
    </row>
    <row r="10284" spans="1:4" x14ac:dyDescent="0.25">
      <c r="A10284" t="s">
        <v>701</v>
      </c>
      <c r="B10284" t="s">
        <v>40</v>
      </c>
      <c r="C10284" s="2">
        <f>HYPERLINK("https://sao.dolgi.msk.ru/account/1404280832/", 1404280832)</f>
        <v>1404280832</v>
      </c>
      <c r="D10284">
        <v>88850.93</v>
      </c>
    </row>
    <row r="10285" spans="1:4" hidden="1" x14ac:dyDescent="0.25">
      <c r="A10285" t="s">
        <v>701</v>
      </c>
      <c r="B10285" t="s">
        <v>41</v>
      </c>
      <c r="C10285" s="2">
        <f>HYPERLINK("https://sao.dolgi.msk.ru/account/1404281907/", 1404281907)</f>
        <v>1404281907</v>
      </c>
      <c r="D10285">
        <v>-7367.32</v>
      </c>
    </row>
    <row r="10286" spans="1:4" hidden="1" x14ac:dyDescent="0.25">
      <c r="A10286" t="s">
        <v>701</v>
      </c>
      <c r="B10286" t="s">
        <v>42</v>
      </c>
      <c r="C10286" s="2">
        <f>HYPERLINK("https://sao.dolgi.msk.ru/account/1404282272/", 1404282272)</f>
        <v>1404282272</v>
      </c>
      <c r="D10286">
        <v>0</v>
      </c>
    </row>
    <row r="10287" spans="1:4" hidden="1" x14ac:dyDescent="0.25">
      <c r="A10287" t="s">
        <v>701</v>
      </c>
      <c r="B10287" t="s">
        <v>43</v>
      </c>
      <c r="C10287" s="2">
        <f>HYPERLINK("https://sao.dolgi.msk.ru/account/1404280293/", 1404280293)</f>
        <v>1404280293</v>
      </c>
      <c r="D10287">
        <v>-5782.8</v>
      </c>
    </row>
    <row r="10288" spans="1:4" hidden="1" x14ac:dyDescent="0.25">
      <c r="A10288" t="s">
        <v>701</v>
      </c>
      <c r="B10288" t="s">
        <v>44</v>
      </c>
      <c r="C10288" s="2">
        <f>HYPERLINK("https://sao.dolgi.msk.ru/account/1404280285/", 1404280285)</f>
        <v>1404280285</v>
      </c>
      <c r="D10288">
        <v>-7138.68</v>
      </c>
    </row>
    <row r="10289" spans="1:4" hidden="1" x14ac:dyDescent="0.25">
      <c r="A10289" t="s">
        <v>701</v>
      </c>
      <c r="B10289" t="s">
        <v>45</v>
      </c>
      <c r="C10289" s="2">
        <f>HYPERLINK("https://sao.dolgi.msk.ru/account/1404280074/", 1404280074)</f>
        <v>1404280074</v>
      </c>
      <c r="D10289">
        <v>-8875.26</v>
      </c>
    </row>
    <row r="10290" spans="1:4" hidden="1" x14ac:dyDescent="0.25">
      <c r="A10290" t="s">
        <v>701</v>
      </c>
      <c r="B10290" t="s">
        <v>46</v>
      </c>
      <c r="C10290" s="2">
        <f>HYPERLINK("https://sao.dolgi.msk.ru/account/1404281042/", 1404281042)</f>
        <v>1404281042</v>
      </c>
      <c r="D10290">
        <v>0</v>
      </c>
    </row>
    <row r="10291" spans="1:4" x14ac:dyDescent="0.25">
      <c r="A10291" t="s">
        <v>701</v>
      </c>
      <c r="B10291" t="s">
        <v>47</v>
      </c>
      <c r="C10291" s="2">
        <f>HYPERLINK("https://sao.dolgi.msk.ru/account/1404279946/", 1404279946)</f>
        <v>1404279946</v>
      </c>
      <c r="D10291">
        <v>10704.84</v>
      </c>
    </row>
    <row r="10292" spans="1:4" hidden="1" x14ac:dyDescent="0.25">
      <c r="A10292" t="s">
        <v>701</v>
      </c>
      <c r="B10292" t="s">
        <v>48</v>
      </c>
      <c r="C10292" s="2">
        <f>HYPERLINK("https://sao.dolgi.msk.ru/account/1404280007/", 1404280007)</f>
        <v>1404280007</v>
      </c>
      <c r="D10292">
        <v>-4772.78</v>
      </c>
    </row>
    <row r="10293" spans="1:4" hidden="1" x14ac:dyDescent="0.25">
      <c r="A10293" t="s">
        <v>701</v>
      </c>
      <c r="B10293" t="s">
        <v>49</v>
      </c>
      <c r="C10293" s="2">
        <f>HYPERLINK("https://sao.dolgi.msk.ru/account/1404281966/", 1404281966)</f>
        <v>1404281966</v>
      </c>
      <c r="D10293">
        <v>0</v>
      </c>
    </row>
    <row r="10294" spans="1:4" hidden="1" x14ac:dyDescent="0.25">
      <c r="A10294" t="s">
        <v>701</v>
      </c>
      <c r="B10294" t="s">
        <v>50</v>
      </c>
      <c r="C10294" s="2">
        <f>HYPERLINK("https://sao.dolgi.msk.ru/account/1404280699/", 1404280699)</f>
        <v>1404280699</v>
      </c>
      <c r="D10294">
        <v>-3717.12</v>
      </c>
    </row>
    <row r="10295" spans="1:4" hidden="1" x14ac:dyDescent="0.25">
      <c r="A10295" t="s">
        <v>701</v>
      </c>
      <c r="B10295" t="s">
        <v>51</v>
      </c>
      <c r="C10295" s="2">
        <f>HYPERLINK("https://sao.dolgi.msk.ru/account/1404282475/", 1404282475)</f>
        <v>1404282475</v>
      </c>
      <c r="D10295">
        <v>-6449.25</v>
      </c>
    </row>
    <row r="10296" spans="1:4" hidden="1" x14ac:dyDescent="0.25">
      <c r="A10296" t="s">
        <v>701</v>
      </c>
      <c r="B10296" t="s">
        <v>52</v>
      </c>
      <c r="C10296" s="2">
        <f>HYPERLINK("https://sao.dolgi.msk.ru/account/1404281739/", 1404281739)</f>
        <v>1404281739</v>
      </c>
      <c r="D10296">
        <v>-511.55</v>
      </c>
    </row>
    <row r="10297" spans="1:4" x14ac:dyDescent="0.25">
      <c r="A10297" t="s">
        <v>701</v>
      </c>
      <c r="B10297" t="s">
        <v>53</v>
      </c>
      <c r="C10297" s="2">
        <f>HYPERLINK("https://sao.dolgi.msk.ru/account/1404279575/", 1404279575)</f>
        <v>1404279575</v>
      </c>
      <c r="D10297">
        <v>239.9</v>
      </c>
    </row>
    <row r="10298" spans="1:4" hidden="1" x14ac:dyDescent="0.25">
      <c r="A10298" t="s">
        <v>701</v>
      </c>
      <c r="B10298" t="s">
        <v>54</v>
      </c>
      <c r="C10298" s="2">
        <f>HYPERLINK("https://sao.dolgi.msk.ru/account/1404281667/", 1404281667)</f>
        <v>1404281667</v>
      </c>
      <c r="D10298">
        <v>-2969.16</v>
      </c>
    </row>
    <row r="10299" spans="1:4" hidden="1" x14ac:dyDescent="0.25">
      <c r="A10299" t="s">
        <v>701</v>
      </c>
      <c r="B10299" t="s">
        <v>55</v>
      </c>
      <c r="C10299" s="2">
        <f>HYPERLINK("https://sao.dolgi.msk.ru/account/1404280197/", 1404280197)</f>
        <v>1404280197</v>
      </c>
      <c r="D10299">
        <v>-3529.27</v>
      </c>
    </row>
    <row r="10300" spans="1:4" hidden="1" x14ac:dyDescent="0.25">
      <c r="A10300" t="s">
        <v>701</v>
      </c>
      <c r="B10300" t="s">
        <v>55</v>
      </c>
      <c r="C10300" s="2">
        <f>HYPERLINK("https://sao.dolgi.msk.ru/account/1404281384/", 1404281384)</f>
        <v>1404281384</v>
      </c>
      <c r="D10300">
        <v>-2962.8</v>
      </c>
    </row>
    <row r="10301" spans="1:4" hidden="1" x14ac:dyDescent="0.25">
      <c r="A10301" t="s">
        <v>701</v>
      </c>
      <c r="B10301" t="s">
        <v>56</v>
      </c>
      <c r="C10301" s="2">
        <f>HYPERLINK("https://sao.dolgi.msk.ru/account/1404280437/", 1404280437)</f>
        <v>1404280437</v>
      </c>
      <c r="D10301">
        <v>-6742.72</v>
      </c>
    </row>
    <row r="10302" spans="1:4" hidden="1" x14ac:dyDescent="0.25">
      <c r="A10302" t="s">
        <v>701</v>
      </c>
      <c r="B10302" t="s">
        <v>57</v>
      </c>
      <c r="C10302" s="2">
        <f>HYPERLINK("https://sao.dolgi.msk.ru/account/1404281552/", 1404281552)</f>
        <v>1404281552</v>
      </c>
      <c r="D10302">
        <v>0</v>
      </c>
    </row>
    <row r="10303" spans="1:4" hidden="1" x14ac:dyDescent="0.25">
      <c r="A10303" t="s">
        <v>701</v>
      </c>
      <c r="B10303" t="s">
        <v>58</v>
      </c>
      <c r="C10303" s="2">
        <f>HYPERLINK("https://sao.dolgi.msk.ru/account/1404281157/", 1404281157)</f>
        <v>1404281157</v>
      </c>
      <c r="D10303">
        <v>0</v>
      </c>
    </row>
    <row r="10304" spans="1:4" hidden="1" x14ac:dyDescent="0.25">
      <c r="A10304" t="s">
        <v>701</v>
      </c>
      <c r="B10304" t="s">
        <v>59</v>
      </c>
      <c r="C10304" s="2">
        <f>HYPERLINK("https://sao.dolgi.msk.ru/account/1404280752/", 1404280752)</f>
        <v>1404280752</v>
      </c>
      <c r="D10304">
        <v>-8047.28</v>
      </c>
    </row>
    <row r="10305" spans="1:4" x14ac:dyDescent="0.25">
      <c r="A10305" t="s">
        <v>701</v>
      </c>
      <c r="B10305" t="s">
        <v>60</v>
      </c>
      <c r="C10305" s="2">
        <f>HYPERLINK("https://sao.dolgi.msk.ru/account/1404279479/", 1404279479)</f>
        <v>1404279479</v>
      </c>
      <c r="D10305">
        <v>53040.17</v>
      </c>
    </row>
    <row r="10306" spans="1:4" hidden="1" x14ac:dyDescent="0.25">
      <c r="A10306" t="s">
        <v>701</v>
      </c>
      <c r="B10306" t="s">
        <v>61</v>
      </c>
      <c r="C10306" s="2">
        <f>HYPERLINK("https://sao.dolgi.msk.ru/account/1404281325/", 1404281325)</f>
        <v>1404281325</v>
      </c>
      <c r="D10306">
        <v>-12178.36</v>
      </c>
    </row>
    <row r="10307" spans="1:4" x14ac:dyDescent="0.25">
      <c r="A10307" t="s">
        <v>701</v>
      </c>
      <c r="B10307" t="s">
        <v>62</v>
      </c>
      <c r="C10307" s="2">
        <f>HYPERLINK("https://sao.dolgi.msk.ru/account/1404282483/", 1404282483)</f>
        <v>1404282483</v>
      </c>
      <c r="D10307">
        <v>48614.3</v>
      </c>
    </row>
    <row r="10308" spans="1:4" hidden="1" x14ac:dyDescent="0.25">
      <c r="A10308" t="s">
        <v>701</v>
      </c>
      <c r="B10308" t="s">
        <v>63</v>
      </c>
      <c r="C10308" s="2">
        <f>HYPERLINK("https://sao.dolgi.msk.ru/account/1404281413/", 1404281413)</f>
        <v>1404281413</v>
      </c>
      <c r="D10308">
        <v>0</v>
      </c>
    </row>
    <row r="10309" spans="1:4" hidden="1" x14ac:dyDescent="0.25">
      <c r="A10309" t="s">
        <v>701</v>
      </c>
      <c r="B10309" t="s">
        <v>64</v>
      </c>
      <c r="C10309" s="2">
        <f>HYPERLINK("https://sao.dolgi.msk.ru/account/1404280859/", 1404280859)</f>
        <v>1404280859</v>
      </c>
      <c r="D10309">
        <v>-9263.14</v>
      </c>
    </row>
    <row r="10310" spans="1:4" hidden="1" x14ac:dyDescent="0.25">
      <c r="A10310" t="s">
        <v>701</v>
      </c>
      <c r="B10310" t="s">
        <v>65</v>
      </c>
      <c r="C10310" s="2">
        <f>HYPERLINK("https://sao.dolgi.msk.ru/account/1404280912/", 1404280912)</f>
        <v>1404280912</v>
      </c>
      <c r="D10310">
        <v>-10464.120000000001</v>
      </c>
    </row>
    <row r="10311" spans="1:4" hidden="1" x14ac:dyDescent="0.25">
      <c r="A10311" t="s">
        <v>701</v>
      </c>
      <c r="B10311" t="s">
        <v>66</v>
      </c>
      <c r="C10311" s="2">
        <f>HYPERLINK("https://sao.dolgi.msk.ru/account/1404280226/", 1404280226)</f>
        <v>1404280226</v>
      </c>
      <c r="D10311">
        <v>0</v>
      </c>
    </row>
    <row r="10312" spans="1:4" hidden="1" x14ac:dyDescent="0.25">
      <c r="A10312" t="s">
        <v>701</v>
      </c>
      <c r="B10312" t="s">
        <v>67</v>
      </c>
      <c r="C10312" s="2">
        <f>HYPERLINK("https://sao.dolgi.msk.ru/account/1404282192/", 1404282192)</f>
        <v>1404282192</v>
      </c>
      <c r="D10312">
        <v>-3917.94</v>
      </c>
    </row>
    <row r="10313" spans="1:4" x14ac:dyDescent="0.25">
      <c r="A10313" t="s">
        <v>701</v>
      </c>
      <c r="B10313" t="s">
        <v>68</v>
      </c>
      <c r="C10313" s="2">
        <f>HYPERLINK("https://sao.dolgi.msk.ru/account/1404279436/", 1404279436)</f>
        <v>1404279436</v>
      </c>
      <c r="D10313">
        <v>21063.33</v>
      </c>
    </row>
    <row r="10314" spans="1:4" hidden="1" x14ac:dyDescent="0.25">
      <c r="A10314" t="s">
        <v>701</v>
      </c>
      <c r="B10314" t="s">
        <v>69</v>
      </c>
      <c r="C10314" s="2">
        <f>HYPERLINK("https://sao.dolgi.msk.ru/account/1404282125/", 1404282125)</f>
        <v>1404282125</v>
      </c>
      <c r="D10314">
        <v>0</v>
      </c>
    </row>
    <row r="10315" spans="1:4" hidden="1" x14ac:dyDescent="0.25">
      <c r="A10315" t="s">
        <v>701</v>
      </c>
      <c r="B10315" t="s">
        <v>70</v>
      </c>
      <c r="C10315" s="2">
        <f>HYPERLINK("https://sao.dolgi.msk.ru/account/1404281632/", 1404281632)</f>
        <v>1404281632</v>
      </c>
      <c r="D10315">
        <v>-7383.8</v>
      </c>
    </row>
    <row r="10316" spans="1:4" x14ac:dyDescent="0.25">
      <c r="A10316" t="s">
        <v>701</v>
      </c>
      <c r="B10316" t="s">
        <v>71</v>
      </c>
      <c r="C10316" s="2">
        <f>HYPERLINK("https://sao.dolgi.msk.ru/account/1404281675/", 1404281675)</f>
        <v>1404281675</v>
      </c>
      <c r="D10316">
        <v>71357.69</v>
      </c>
    </row>
    <row r="10317" spans="1:4" x14ac:dyDescent="0.25">
      <c r="A10317" t="s">
        <v>701</v>
      </c>
      <c r="B10317" t="s">
        <v>72</v>
      </c>
      <c r="C10317" s="2">
        <f>HYPERLINK("https://sao.dolgi.msk.ru/account/1404282619/", 1404282619)</f>
        <v>1404282619</v>
      </c>
      <c r="D10317">
        <v>264.47000000000003</v>
      </c>
    </row>
    <row r="10318" spans="1:4" hidden="1" x14ac:dyDescent="0.25">
      <c r="A10318" t="s">
        <v>701</v>
      </c>
      <c r="B10318" t="s">
        <v>73</v>
      </c>
      <c r="C10318" s="2">
        <f>HYPERLINK("https://sao.dolgi.msk.ru/account/1404279401/", 1404279401)</f>
        <v>1404279401</v>
      </c>
      <c r="D10318">
        <v>-697.1</v>
      </c>
    </row>
    <row r="10319" spans="1:4" hidden="1" x14ac:dyDescent="0.25">
      <c r="A10319" t="s">
        <v>701</v>
      </c>
      <c r="B10319" t="s">
        <v>74</v>
      </c>
      <c r="C10319" s="2">
        <f>HYPERLINK("https://sao.dolgi.msk.ru/account/1404282299/", 1404282299)</f>
        <v>1404282299</v>
      </c>
      <c r="D10319">
        <v>-10097.040000000001</v>
      </c>
    </row>
    <row r="10320" spans="1:4" hidden="1" x14ac:dyDescent="0.25">
      <c r="A10320" t="s">
        <v>701</v>
      </c>
      <c r="B10320" t="s">
        <v>75</v>
      </c>
      <c r="C10320" s="2">
        <f>HYPERLINK("https://sao.dolgi.msk.ru/account/1404282256/", 1404282256)</f>
        <v>1404282256</v>
      </c>
      <c r="D10320">
        <v>-7446.87</v>
      </c>
    </row>
    <row r="10321" spans="1:4" x14ac:dyDescent="0.25">
      <c r="A10321" t="s">
        <v>701</v>
      </c>
      <c r="B10321" t="s">
        <v>76</v>
      </c>
      <c r="C10321" s="2">
        <f>HYPERLINK("https://sao.dolgi.msk.ru/account/1404279639/", 1404279639)</f>
        <v>1404279639</v>
      </c>
      <c r="D10321">
        <v>2087.25</v>
      </c>
    </row>
    <row r="10322" spans="1:4" hidden="1" x14ac:dyDescent="0.25">
      <c r="A10322" t="s">
        <v>701</v>
      </c>
      <c r="B10322" t="s">
        <v>77</v>
      </c>
      <c r="C10322" s="2">
        <f>HYPERLINK("https://sao.dolgi.msk.ru/account/1404281886/", 1404281886)</f>
        <v>1404281886</v>
      </c>
      <c r="D10322">
        <v>0</v>
      </c>
    </row>
    <row r="10323" spans="1:4" x14ac:dyDescent="0.25">
      <c r="A10323" t="s">
        <v>701</v>
      </c>
      <c r="B10323" t="s">
        <v>78</v>
      </c>
      <c r="C10323" s="2">
        <f>HYPERLINK("https://sao.dolgi.msk.ru/account/1404279428/", 1404279428)</f>
        <v>1404279428</v>
      </c>
      <c r="D10323">
        <v>3579.45</v>
      </c>
    </row>
    <row r="10324" spans="1:4" hidden="1" x14ac:dyDescent="0.25">
      <c r="A10324" t="s">
        <v>701</v>
      </c>
      <c r="B10324" t="s">
        <v>79</v>
      </c>
      <c r="C10324" s="2">
        <f>HYPERLINK("https://sao.dolgi.msk.ru/account/1404281309/", 1404281309)</f>
        <v>1404281309</v>
      </c>
      <c r="D10324">
        <v>-3625.4</v>
      </c>
    </row>
    <row r="10325" spans="1:4" hidden="1" x14ac:dyDescent="0.25">
      <c r="A10325" t="s">
        <v>701</v>
      </c>
      <c r="B10325" t="s">
        <v>80</v>
      </c>
      <c r="C10325" s="2">
        <f>HYPERLINK("https://sao.dolgi.msk.ru/account/1404279663/", 1404279663)</f>
        <v>1404279663</v>
      </c>
      <c r="D10325">
        <v>-6617.97</v>
      </c>
    </row>
    <row r="10326" spans="1:4" hidden="1" x14ac:dyDescent="0.25">
      <c r="A10326" t="s">
        <v>701</v>
      </c>
      <c r="B10326" t="s">
        <v>81</v>
      </c>
      <c r="C10326" s="2">
        <f>HYPERLINK("https://sao.dolgi.msk.ru/account/1404279591/", 1404279591)</f>
        <v>1404279591</v>
      </c>
      <c r="D10326">
        <v>-6059.55</v>
      </c>
    </row>
    <row r="10327" spans="1:4" x14ac:dyDescent="0.25">
      <c r="A10327" t="s">
        <v>701</v>
      </c>
      <c r="B10327" t="s">
        <v>82</v>
      </c>
      <c r="C10327" s="2">
        <f>HYPERLINK("https://sao.dolgi.msk.ru/account/1404279807/", 1404279807)</f>
        <v>1404279807</v>
      </c>
      <c r="D10327">
        <v>52388.97</v>
      </c>
    </row>
    <row r="10328" spans="1:4" x14ac:dyDescent="0.25">
      <c r="A10328" t="s">
        <v>701</v>
      </c>
      <c r="B10328" t="s">
        <v>82</v>
      </c>
      <c r="C10328" s="2">
        <f>HYPERLINK("https://sao.dolgi.msk.ru/account/1404280883/", 1404280883)</f>
        <v>1404280883</v>
      </c>
      <c r="D10328">
        <v>47930</v>
      </c>
    </row>
    <row r="10329" spans="1:4" hidden="1" x14ac:dyDescent="0.25">
      <c r="A10329" t="s">
        <v>701</v>
      </c>
      <c r="B10329" t="s">
        <v>83</v>
      </c>
      <c r="C10329" s="2">
        <f>HYPERLINK("https://sao.dolgi.msk.ru/account/1404279815/", 1404279815)</f>
        <v>1404279815</v>
      </c>
      <c r="D10329">
        <v>-6530.33</v>
      </c>
    </row>
    <row r="10330" spans="1:4" x14ac:dyDescent="0.25">
      <c r="A10330" t="s">
        <v>701</v>
      </c>
      <c r="B10330" t="s">
        <v>84</v>
      </c>
      <c r="C10330" s="2">
        <f>HYPERLINK("https://sao.dolgi.msk.ru/account/1404280461/", 1404280461)</f>
        <v>1404280461</v>
      </c>
      <c r="D10330">
        <v>6031.36</v>
      </c>
    </row>
    <row r="10331" spans="1:4" hidden="1" x14ac:dyDescent="0.25">
      <c r="A10331" t="s">
        <v>701</v>
      </c>
      <c r="B10331" t="s">
        <v>85</v>
      </c>
      <c r="C10331" s="2">
        <f>HYPERLINK("https://sao.dolgi.msk.ru/account/1404280429/", 1404280429)</f>
        <v>1404280429</v>
      </c>
      <c r="D10331">
        <v>-5609.77</v>
      </c>
    </row>
    <row r="10332" spans="1:4" hidden="1" x14ac:dyDescent="0.25">
      <c r="A10332" t="s">
        <v>701</v>
      </c>
      <c r="B10332" t="s">
        <v>86</v>
      </c>
      <c r="C10332" s="2">
        <f>HYPERLINK("https://sao.dolgi.msk.ru/account/1404281296/", 1404281296)</f>
        <v>1404281296</v>
      </c>
      <c r="D10332">
        <v>-9236.77</v>
      </c>
    </row>
    <row r="10333" spans="1:4" hidden="1" x14ac:dyDescent="0.25">
      <c r="A10333" t="s">
        <v>701</v>
      </c>
      <c r="B10333" t="s">
        <v>87</v>
      </c>
      <c r="C10333" s="2">
        <f>HYPERLINK("https://sao.dolgi.msk.ru/account/1404282563/", 1404282563)</f>
        <v>1404282563</v>
      </c>
      <c r="D10333">
        <v>-5525.27</v>
      </c>
    </row>
    <row r="10334" spans="1:4" hidden="1" x14ac:dyDescent="0.25">
      <c r="A10334" t="s">
        <v>701</v>
      </c>
      <c r="B10334" t="s">
        <v>88</v>
      </c>
      <c r="C10334" s="2">
        <f>HYPERLINK("https://sao.dolgi.msk.ru/account/1404280031/", 1404280031)</f>
        <v>1404280031</v>
      </c>
      <c r="D10334">
        <v>0</v>
      </c>
    </row>
    <row r="10335" spans="1:4" hidden="1" x14ac:dyDescent="0.25">
      <c r="A10335" t="s">
        <v>701</v>
      </c>
      <c r="B10335" t="s">
        <v>89</v>
      </c>
      <c r="C10335" s="2">
        <f>HYPERLINK("https://sao.dolgi.msk.ru/account/1404281878/", 1404281878)</f>
        <v>1404281878</v>
      </c>
      <c r="D10335">
        <v>-4555.05</v>
      </c>
    </row>
    <row r="10336" spans="1:4" x14ac:dyDescent="0.25">
      <c r="A10336" t="s">
        <v>701</v>
      </c>
      <c r="B10336" t="s">
        <v>90</v>
      </c>
      <c r="C10336" s="2">
        <f>HYPERLINK("https://sao.dolgi.msk.ru/account/1404282598/", 1404282598)</f>
        <v>1404282598</v>
      </c>
      <c r="D10336">
        <v>6870.61</v>
      </c>
    </row>
    <row r="10337" spans="1:4" hidden="1" x14ac:dyDescent="0.25">
      <c r="A10337" t="s">
        <v>701</v>
      </c>
      <c r="B10337" t="s">
        <v>91</v>
      </c>
      <c r="C10337" s="2">
        <f>HYPERLINK("https://sao.dolgi.msk.ru/account/1404279735/", 1404279735)</f>
        <v>1404279735</v>
      </c>
      <c r="D10337">
        <v>-5140.28</v>
      </c>
    </row>
    <row r="10338" spans="1:4" hidden="1" x14ac:dyDescent="0.25">
      <c r="A10338" t="s">
        <v>701</v>
      </c>
      <c r="B10338" t="s">
        <v>92</v>
      </c>
      <c r="C10338" s="2">
        <f>HYPERLINK("https://sao.dolgi.msk.ru/account/1404281528/", 1404281528)</f>
        <v>1404281528</v>
      </c>
      <c r="D10338">
        <v>-5651.35</v>
      </c>
    </row>
    <row r="10339" spans="1:4" hidden="1" x14ac:dyDescent="0.25">
      <c r="A10339" t="s">
        <v>701</v>
      </c>
      <c r="B10339" t="s">
        <v>93</v>
      </c>
      <c r="C10339" s="2">
        <f>HYPERLINK("https://sao.dolgi.msk.ru/account/1404279778/", 1404279778)</f>
        <v>1404279778</v>
      </c>
      <c r="D10339">
        <v>-7135.54</v>
      </c>
    </row>
    <row r="10340" spans="1:4" hidden="1" x14ac:dyDescent="0.25">
      <c r="A10340" t="s">
        <v>701</v>
      </c>
      <c r="B10340" t="s">
        <v>94</v>
      </c>
      <c r="C10340" s="2">
        <f>HYPERLINK("https://sao.dolgi.msk.ru/account/1404281958/", 1404281958)</f>
        <v>1404281958</v>
      </c>
      <c r="D10340">
        <v>-11718.55</v>
      </c>
    </row>
    <row r="10341" spans="1:4" x14ac:dyDescent="0.25">
      <c r="A10341" t="s">
        <v>701</v>
      </c>
      <c r="B10341" t="s">
        <v>95</v>
      </c>
      <c r="C10341" s="2">
        <f>HYPERLINK("https://sao.dolgi.msk.ru/account/1404280189/", 1404280189)</f>
        <v>1404280189</v>
      </c>
      <c r="D10341">
        <v>17398.009999999998</v>
      </c>
    </row>
    <row r="10342" spans="1:4" hidden="1" x14ac:dyDescent="0.25">
      <c r="A10342" t="s">
        <v>701</v>
      </c>
      <c r="B10342" t="s">
        <v>96</v>
      </c>
      <c r="C10342" s="2">
        <f>HYPERLINK("https://sao.dolgi.msk.ru/account/1404282336/", 1404282336)</f>
        <v>1404282336</v>
      </c>
      <c r="D10342">
        <v>-4485.3</v>
      </c>
    </row>
    <row r="10343" spans="1:4" hidden="1" x14ac:dyDescent="0.25">
      <c r="A10343" t="s">
        <v>701</v>
      </c>
      <c r="B10343" t="s">
        <v>97</v>
      </c>
      <c r="C10343" s="2">
        <f>HYPERLINK("https://sao.dolgi.msk.ru/account/1404280162/", 1404280162)</f>
        <v>1404280162</v>
      </c>
      <c r="D10343">
        <v>-9310.7999999999993</v>
      </c>
    </row>
    <row r="10344" spans="1:4" x14ac:dyDescent="0.25">
      <c r="A10344" t="s">
        <v>701</v>
      </c>
      <c r="B10344" t="s">
        <v>98</v>
      </c>
      <c r="C10344" s="2">
        <f>HYPERLINK("https://sao.dolgi.msk.ru/account/1404282096/", 1404282096)</f>
        <v>1404282096</v>
      </c>
      <c r="D10344">
        <v>4564.28</v>
      </c>
    </row>
    <row r="10345" spans="1:4" hidden="1" x14ac:dyDescent="0.25">
      <c r="A10345" t="s">
        <v>701</v>
      </c>
      <c r="B10345" t="s">
        <v>99</v>
      </c>
      <c r="C10345" s="2">
        <f>HYPERLINK("https://sao.dolgi.msk.ru/account/1404281915/", 1404281915)</f>
        <v>1404281915</v>
      </c>
      <c r="D10345">
        <v>-5921.23</v>
      </c>
    </row>
    <row r="10346" spans="1:4" x14ac:dyDescent="0.25">
      <c r="A10346" t="s">
        <v>701</v>
      </c>
      <c r="B10346" t="s">
        <v>100</v>
      </c>
      <c r="C10346" s="2">
        <f>HYPERLINK("https://sao.dolgi.msk.ru/account/1404282344/", 1404282344)</f>
        <v>1404282344</v>
      </c>
      <c r="D10346">
        <v>975.03</v>
      </c>
    </row>
    <row r="10347" spans="1:4" hidden="1" x14ac:dyDescent="0.25">
      <c r="A10347" t="s">
        <v>701</v>
      </c>
      <c r="B10347" t="s">
        <v>101</v>
      </c>
      <c r="C10347" s="2">
        <f>HYPERLINK("https://sao.dolgi.msk.ru/account/1404281448/", 1404281448)</f>
        <v>1404281448</v>
      </c>
      <c r="D10347">
        <v>0</v>
      </c>
    </row>
    <row r="10348" spans="1:4" hidden="1" x14ac:dyDescent="0.25">
      <c r="A10348" t="s">
        <v>701</v>
      </c>
      <c r="B10348" t="s">
        <v>102</v>
      </c>
      <c r="C10348" s="2">
        <f>HYPERLINK("https://sao.dolgi.msk.ru/account/1404281245/", 1404281245)</f>
        <v>1404281245</v>
      </c>
      <c r="D10348">
        <v>-16279.12</v>
      </c>
    </row>
    <row r="10349" spans="1:4" hidden="1" x14ac:dyDescent="0.25">
      <c r="A10349" t="s">
        <v>701</v>
      </c>
      <c r="B10349" t="s">
        <v>103</v>
      </c>
      <c r="C10349" s="2">
        <f>HYPERLINK("https://sao.dolgi.msk.ru/account/1404281763/", 1404281763)</f>
        <v>1404281763</v>
      </c>
      <c r="D10349">
        <v>0</v>
      </c>
    </row>
    <row r="10350" spans="1:4" hidden="1" x14ac:dyDescent="0.25">
      <c r="A10350" t="s">
        <v>701</v>
      </c>
      <c r="B10350" t="s">
        <v>104</v>
      </c>
      <c r="C10350" s="2">
        <f>HYPERLINK("https://sao.dolgi.msk.ru/account/1404281376/", 1404281376)</f>
        <v>1404281376</v>
      </c>
      <c r="D10350">
        <v>-6529.18</v>
      </c>
    </row>
    <row r="10351" spans="1:4" x14ac:dyDescent="0.25">
      <c r="A10351" t="s">
        <v>701</v>
      </c>
      <c r="B10351" t="s">
        <v>105</v>
      </c>
      <c r="C10351" s="2">
        <f>HYPERLINK("https://sao.dolgi.msk.ru/account/1404280648/", 1404280648)</f>
        <v>1404280648</v>
      </c>
      <c r="D10351">
        <v>3639.53</v>
      </c>
    </row>
    <row r="10352" spans="1:4" x14ac:dyDescent="0.25">
      <c r="A10352" t="s">
        <v>701</v>
      </c>
      <c r="B10352" t="s">
        <v>106</v>
      </c>
      <c r="C10352" s="2">
        <f>HYPERLINK("https://sao.dolgi.msk.ru/account/1404280613/", 1404280613)</f>
        <v>1404280613</v>
      </c>
      <c r="D10352">
        <v>23944.34</v>
      </c>
    </row>
    <row r="10353" spans="1:4" hidden="1" x14ac:dyDescent="0.25">
      <c r="A10353" t="s">
        <v>701</v>
      </c>
      <c r="B10353" t="s">
        <v>107</v>
      </c>
      <c r="C10353" s="2">
        <f>HYPERLINK("https://sao.dolgi.msk.ru/account/1404280656/", 1404280656)</f>
        <v>1404280656</v>
      </c>
      <c r="D10353">
        <v>0</v>
      </c>
    </row>
    <row r="10354" spans="1:4" hidden="1" x14ac:dyDescent="0.25">
      <c r="A10354" t="s">
        <v>701</v>
      </c>
      <c r="B10354" t="s">
        <v>108</v>
      </c>
      <c r="C10354" s="2">
        <f>HYPERLINK("https://sao.dolgi.msk.ru/account/1404281229/", 1404281229)</f>
        <v>1404281229</v>
      </c>
      <c r="D10354">
        <v>0</v>
      </c>
    </row>
    <row r="10355" spans="1:4" hidden="1" x14ac:dyDescent="0.25">
      <c r="A10355" t="s">
        <v>701</v>
      </c>
      <c r="B10355" t="s">
        <v>109</v>
      </c>
      <c r="C10355" s="2">
        <f>HYPERLINK("https://sao.dolgi.msk.ru/account/1404280744/", 1404280744)</f>
        <v>1404280744</v>
      </c>
      <c r="D10355">
        <v>-6486.45</v>
      </c>
    </row>
    <row r="10356" spans="1:4" x14ac:dyDescent="0.25">
      <c r="A10356" t="s">
        <v>701</v>
      </c>
      <c r="B10356" t="s">
        <v>110</v>
      </c>
      <c r="C10356" s="2">
        <f>HYPERLINK("https://sao.dolgi.msk.ru/account/1404280584/", 1404280584)</f>
        <v>1404280584</v>
      </c>
      <c r="D10356">
        <v>32537.61</v>
      </c>
    </row>
    <row r="10357" spans="1:4" hidden="1" x14ac:dyDescent="0.25">
      <c r="A10357" t="s">
        <v>701</v>
      </c>
      <c r="B10357" t="s">
        <v>111</v>
      </c>
      <c r="C10357" s="2">
        <f>HYPERLINK("https://sao.dolgi.msk.ru/account/1404281122/", 1404281122)</f>
        <v>1404281122</v>
      </c>
      <c r="D10357">
        <v>-5125.1099999999997</v>
      </c>
    </row>
    <row r="10358" spans="1:4" x14ac:dyDescent="0.25">
      <c r="A10358" t="s">
        <v>701</v>
      </c>
      <c r="B10358" t="s">
        <v>112</v>
      </c>
      <c r="C10358" s="2">
        <f>HYPERLINK("https://sao.dolgi.msk.ru/account/1404280795/", 1404280795)</f>
        <v>1404280795</v>
      </c>
      <c r="D10358">
        <v>21814.27</v>
      </c>
    </row>
    <row r="10359" spans="1:4" hidden="1" x14ac:dyDescent="0.25">
      <c r="A10359" t="s">
        <v>701</v>
      </c>
      <c r="B10359" t="s">
        <v>113</v>
      </c>
      <c r="C10359" s="2">
        <f>HYPERLINK("https://sao.dolgi.msk.ru/account/1404279874/", 1404279874)</f>
        <v>1404279874</v>
      </c>
      <c r="D10359">
        <v>0</v>
      </c>
    </row>
    <row r="10360" spans="1:4" hidden="1" x14ac:dyDescent="0.25">
      <c r="A10360" t="s">
        <v>701</v>
      </c>
      <c r="B10360" t="s">
        <v>114</v>
      </c>
      <c r="C10360" s="2">
        <f>HYPERLINK("https://sao.dolgi.msk.ru/account/1404281974/", 1404281974)</f>
        <v>1404281974</v>
      </c>
      <c r="D10360">
        <v>-11006.02</v>
      </c>
    </row>
    <row r="10361" spans="1:4" hidden="1" x14ac:dyDescent="0.25">
      <c r="A10361" t="s">
        <v>701</v>
      </c>
      <c r="B10361" t="s">
        <v>115</v>
      </c>
      <c r="C10361" s="2">
        <f>HYPERLINK("https://sao.dolgi.msk.ru/account/1404279858/", 1404279858)</f>
        <v>1404279858</v>
      </c>
      <c r="D10361">
        <v>-3793.44</v>
      </c>
    </row>
    <row r="10362" spans="1:4" hidden="1" x14ac:dyDescent="0.25">
      <c r="A10362" t="s">
        <v>701</v>
      </c>
      <c r="B10362" t="s">
        <v>116</v>
      </c>
      <c r="C10362" s="2">
        <f>HYPERLINK("https://sao.dolgi.msk.ru/account/1404280875/", 1404280875)</f>
        <v>1404280875</v>
      </c>
      <c r="D10362">
        <v>-4808.5</v>
      </c>
    </row>
    <row r="10363" spans="1:4" hidden="1" x14ac:dyDescent="0.25">
      <c r="A10363" t="s">
        <v>701</v>
      </c>
      <c r="B10363" t="s">
        <v>117</v>
      </c>
      <c r="C10363" s="2">
        <f>HYPERLINK("https://sao.dolgi.msk.ru/account/1404280605/", 1404280605)</f>
        <v>1404280605</v>
      </c>
      <c r="D10363">
        <v>0</v>
      </c>
    </row>
    <row r="10364" spans="1:4" hidden="1" x14ac:dyDescent="0.25">
      <c r="A10364" t="s">
        <v>701</v>
      </c>
      <c r="B10364" t="s">
        <v>118</v>
      </c>
      <c r="C10364" s="2">
        <f>HYPERLINK("https://sao.dolgi.msk.ru/account/1404280904/", 1404280904)</f>
        <v>1404280904</v>
      </c>
      <c r="D10364">
        <v>-10675.83</v>
      </c>
    </row>
    <row r="10365" spans="1:4" hidden="1" x14ac:dyDescent="0.25">
      <c r="A10365" t="s">
        <v>701</v>
      </c>
      <c r="B10365" t="s">
        <v>119</v>
      </c>
      <c r="C10365" s="2">
        <f>HYPERLINK("https://sao.dolgi.msk.ru/account/1404280154/", 1404280154)</f>
        <v>1404280154</v>
      </c>
      <c r="D10365">
        <v>-3862.37</v>
      </c>
    </row>
    <row r="10366" spans="1:4" hidden="1" x14ac:dyDescent="0.25">
      <c r="A10366" t="s">
        <v>701</v>
      </c>
      <c r="B10366" t="s">
        <v>120</v>
      </c>
      <c r="C10366" s="2">
        <f>HYPERLINK("https://sao.dolgi.msk.ru/account/1404279786/", 1404279786)</f>
        <v>1404279786</v>
      </c>
      <c r="D10366">
        <v>-7459.04</v>
      </c>
    </row>
    <row r="10367" spans="1:4" hidden="1" x14ac:dyDescent="0.25">
      <c r="A10367" t="s">
        <v>701</v>
      </c>
      <c r="B10367" t="s">
        <v>121</v>
      </c>
      <c r="C10367" s="2">
        <f>HYPERLINK("https://sao.dolgi.msk.ru/account/1404281237/", 1404281237)</f>
        <v>1404281237</v>
      </c>
      <c r="D10367">
        <v>0</v>
      </c>
    </row>
    <row r="10368" spans="1:4" hidden="1" x14ac:dyDescent="0.25">
      <c r="A10368" t="s">
        <v>701</v>
      </c>
      <c r="B10368" t="s">
        <v>121</v>
      </c>
      <c r="C10368" s="2">
        <f>HYPERLINK("https://sao.dolgi.msk.ru/account/1404281704/", 1404281704)</f>
        <v>1404281704</v>
      </c>
      <c r="D10368">
        <v>0</v>
      </c>
    </row>
    <row r="10369" spans="1:4" hidden="1" x14ac:dyDescent="0.25">
      <c r="A10369" t="s">
        <v>701</v>
      </c>
      <c r="B10369" t="s">
        <v>122</v>
      </c>
      <c r="C10369" s="2">
        <f>HYPERLINK("https://sao.dolgi.msk.ru/account/1404280939/", 1404280939)</f>
        <v>1404280939</v>
      </c>
      <c r="D10369">
        <v>0</v>
      </c>
    </row>
    <row r="10370" spans="1:4" hidden="1" x14ac:dyDescent="0.25">
      <c r="A10370" t="s">
        <v>701</v>
      </c>
      <c r="B10370" t="s">
        <v>123</v>
      </c>
      <c r="C10370" s="2">
        <f>HYPERLINK("https://sao.dolgi.msk.ru/account/1404280592/", 1404280592)</f>
        <v>1404280592</v>
      </c>
      <c r="D10370">
        <v>-4764</v>
      </c>
    </row>
    <row r="10371" spans="1:4" hidden="1" x14ac:dyDescent="0.25">
      <c r="A10371" t="s">
        <v>701</v>
      </c>
      <c r="B10371" t="s">
        <v>124</v>
      </c>
      <c r="C10371" s="2">
        <f>HYPERLINK("https://sao.dolgi.msk.ru/account/1404282328/", 1404282328)</f>
        <v>1404282328</v>
      </c>
      <c r="D10371">
        <v>-6550.1</v>
      </c>
    </row>
    <row r="10372" spans="1:4" hidden="1" x14ac:dyDescent="0.25">
      <c r="A10372" t="s">
        <v>701</v>
      </c>
      <c r="B10372" t="s">
        <v>125</v>
      </c>
      <c r="C10372" s="2">
        <f>HYPERLINK("https://sao.dolgi.msk.ru/account/1404282221/", 1404282221)</f>
        <v>1404282221</v>
      </c>
      <c r="D10372">
        <v>0</v>
      </c>
    </row>
    <row r="10373" spans="1:4" x14ac:dyDescent="0.25">
      <c r="A10373" t="s">
        <v>701</v>
      </c>
      <c r="B10373" t="s">
        <v>126</v>
      </c>
      <c r="C10373" s="2">
        <f>HYPERLINK("https://sao.dolgi.msk.ru/account/1404281165/", 1404281165)</f>
        <v>1404281165</v>
      </c>
      <c r="D10373">
        <v>20660.55</v>
      </c>
    </row>
    <row r="10374" spans="1:4" hidden="1" x14ac:dyDescent="0.25">
      <c r="A10374" t="s">
        <v>701</v>
      </c>
      <c r="B10374" t="s">
        <v>127</v>
      </c>
      <c r="C10374" s="2">
        <f>HYPERLINK("https://sao.dolgi.msk.ru/account/1404281464/", 1404281464)</f>
        <v>1404281464</v>
      </c>
      <c r="D10374">
        <v>0</v>
      </c>
    </row>
    <row r="10375" spans="1:4" hidden="1" x14ac:dyDescent="0.25">
      <c r="A10375" t="s">
        <v>701</v>
      </c>
      <c r="B10375" t="s">
        <v>128</v>
      </c>
      <c r="C10375" s="2">
        <f>HYPERLINK("https://sao.dolgi.msk.ru/account/1404282424/", 1404282424)</f>
        <v>1404282424</v>
      </c>
      <c r="D10375">
        <v>-6266.97</v>
      </c>
    </row>
    <row r="10376" spans="1:4" x14ac:dyDescent="0.25">
      <c r="A10376" t="s">
        <v>701</v>
      </c>
      <c r="B10376" t="s">
        <v>129</v>
      </c>
      <c r="C10376" s="2">
        <f>HYPERLINK("https://sao.dolgi.msk.ru/account/1404282379/", 1404282379)</f>
        <v>1404282379</v>
      </c>
      <c r="D10376">
        <v>31299.16</v>
      </c>
    </row>
    <row r="10377" spans="1:4" hidden="1" x14ac:dyDescent="0.25">
      <c r="A10377" t="s">
        <v>701</v>
      </c>
      <c r="B10377" t="s">
        <v>130</v>
      </c>
      <c r="C10377" s="2">
        <f>HYPERLINK("https://sao.dolgi.msk.ru/account/1404281018/", 1404281018)</f>
        <v>1404281018</v>
      </c>
      <c r="D10377">
        <v>0</v>
      </c>
    </row>
    <row r="10378" spans="1:4" x14ac:dyDescent="0.25">
      <c r="A10378" t="s">
        <v>701</v>
      </c>
      <c r="B10378" t="s">
        <v>131</v>
      </c>
      <c r="C10378" s="2">
        <f>HYPERLINK("https://sao.dolgi.msk.ru/account/1404280365/", 1404280365)</f>
        <v>1404280365</v>
      </c>
      <c r="D10378">
        <v>84095.45</v>
      </c>
    </row>
    <row r="10379" spans="1:4" hidden="1" x14ac:dyDescent="0.25">
      <c r="A10379" t="s">
        <v>701</v>
      </c>
      <c r="B10379" t="s">
        <v>132</v>
      </c>
      <c r="C10379" s="2">
        <f>HYPERLINK("https://sao.dolgi.msk.ru/account/1404282571/", 1404282571)</f>
        <v>1404282571</v>
      </c>
      <c r="D10379">
        <v>0</v>
      </c>
    </row>
    <row r="10380" spans="1:4" hidden="1" x14ac:dyDescent="0.25">
      <c r="A10380" t="s">
        <v>701</v>
      </c>
      <c r="B10380" t="s">
        <v>133</v>
      </c>
      <c r="C10380" s="2">
        <f>HYPERLINK("https://sao.dolgi.msk.ru/account/1404280824/", 1404280824)</f>
        <v>1404280824</v>
      </c>
      <c r="D10380">
        <v>-7740.02</v>
      </c>
    </row>
    <row r="10381" spans="1:4" hidden="1" x14ac:dyDescent="0.25">
      <c r="A10381" t="s">
        <v>701</v>
      </c>
      <c r="B10381" t="s">
        <v>134</v>
      </c>
      <c r="C10381" s="2">
        <f>HYPERLINK("https://sao.dolgi.msk.ru/account/1404280891/", 1404280891)</f>
        <v>1404280891</v>
      </c>
      <c r="D10381">
        <v>-7669.02</v>
      </c>
    </row>
    <row r="10382" spans="1:4" hidden="1" x14ac:dyDescent="0.25">
      <c r="A10382" t="s">
        <v>701</v>
      </c>
      <c r="B10382" t="s">
        <v>135</v>
      </c>
      <c r="C10382" s="2">
        <f>HYPERLINK("https://sao.dolgi.msk.ru/account/1404282352/", 1404282352)</f>
        <v>1404282352</v>
      </c>
      <c r="D10382">
        <v>0</v>
      </c>
    </row>
    <row r="10383" spans="1:4" hidden="1" x14ac:dyDescent="0.25">
      <c r="A10383" t="s">
        <v>701</v>
      </c>
      <c r="B10383" t="s">
        <v>136</v>
      </c>
      <c r="C10383" s="2">
        <f>HYPERLINK("https://sao.dolgi.msk.ru/account/1404280349/", 1404280349)</f>
        <v>1404280349</v>
      </c>
      <c r="D10383">
        <v>0</v>
      </c>
    </row>
    <row r="10384" spans="1:4" x14ac:dyDescent="0.25">
      <c r="A10384" t="s">
        <v>701</v>
      </c>
      <c r="B10384" t="s">
        <v>137</v>
      </c>
      <c r="C10384" s="2">
        <f>HYPERLINK("https://sao.dolgi.msk.ru/account/1404281421/", 1404281421)</f>
        <v>1404281421</v>
      </c>
      <c r="D10384">
        <v>16500.22</v>
      </c>
    </row>
    <row r="10385" spans="1:4" hidden="1" x14ac:dyDescent="0.25">
      <c r="A10385" t="s">
        <v>701</v>
      </c>
      <c r="B10385" t="s">
        <v>138</v>
      </c>
      <c r="C10385" s="2">
        <f>HYPERLINK("https://sao.dolgi.msk.ru/account/1404280509/", 1404280509)</f>
        <v>1404280509</v>
      </c>
      <c r="D10385">
        <v>-6431.95</v>
      </c>
    </row>
    <row r="10386" spans="1:4" hidden="1" x14ac:dyDescent="0.25">
      <c r="A10386" t="s">
        <v>701</v>
      </c>
      <c r="B10386" t="s">
        <v>139</v>
      </c>
      <c r="C10386" s="2">
        <f>HYPERLINK("https://sao.dolgi.msk.ru/account/1404279866/", 1404279866)</f>
        <v>1404279866</v>
      </c>
      <c r="D10386">
        <v>-8126.45</v>
      </c>
    </row>
    <row r="10387" spans="1:4" x14ac:dyDescent="0.25">
      <c r="A10387" t="s">
        <v>701</v>
      </c>
      <c r="B10387" t="s">
        <v>140</v>
      </c>
      <c r="C10387" s="2">
        <f>HYPERLINK("https://sao.dolgi.msk.ru/account/1404279823/", 1404279823)</f>
        <v>1404279823</v>
      </c>
      <c r="D10387">
        <v>8574.43</v>
      </c>
    </row>
    <row r="10388" spans="1:4" hidden="1" x14ac:dyDescent="0.25">
      <c r="A10388" t="s">
        <v>701</v>
      </c>
      <c r="B10388" t="s">
        <v>141</v>
      </c>
      <c r="C10388" s="2">
        <f>HYPERLINK("https://sao.dolgi.msk.ru/account/1404279719/", 1404279719)</f>
        <v>1404279719</v>
      </c>
      <c r="D10388">
        <v>0</v>
      </c>
    </row>
    <row r="10389" spans="1:4" hidden="1" x14ac:dyDescent="0.25">
      <c r="A10389" t="s">
        <v>701</v>
      </c>
      <c r="B10389" t="s">
        <v>141</v>
      </c>
      <c r="C10389" s="2">
        <f>HYPERLINK("https://sao.dolgi.msk.ru/account/1404279989/", 1404279989)</f>
        <v>1404279989</v>
      </c>
      <c r="D10389">
        <v>0</v>
      </c>
    </row>
    <row r="10390" spans="1:4" x14ac:dyDescent="0.25">
      <c r="A10390" t="s">
        <v>701</v>
      </c>
      <c r="B10390" t="s">
        <v>142</v>
      </c>
      <c r="C10390" s="2">
        <f>HYPERLINK("https://sao.dolgi.msk.ru/account/1404280322/", 1404280322)</f>
        <v>1404280322</v>
      </c>
      <c r="D10390">
        <v>8855.1200000000008</v>
      </c>
    </row>
    <row r="10391" spans="1:4" hidden="1" x14ac:dyDescent="0.25">
      <c r="A10391" t="s">
        <v>701</v>
      </c>
      <c r="B10391" t="s">
        <v>143</v>
      </c>
      <c r="C10391" s="2">
        <f>HYPERLINK("https://sao.dolgi.msk.ru/account/1404281536/", 1404281536)</f>
        <v>1404281536</v>
      </c>
      <c r="D10391">
        <v>0</v>
      </c>
    </row>
    <row r="10392" spans="1:4" hidden="1" x14ac:dyDescent="0.25">
      <c r="A10392" t="s">
        <v>701</v>
      </c>
      <c r="B10392" t="s">
        <v>144</v>
      </c>
      <c r="C10392" s="2">
        <f>HYPERLINK("https://sao.dolgi.msk.ru/account/1404282168/", 1404282168)</f>
        <v>1404282168</v>
      </c>
      <c r="D10392">
        <v>-5771.3</v>
      </c>
    </row>
    <row r="10393" spans="1:4" hidden="1" x14ac:dyDescent="0.25">
      <c r="A10393" t="s">
        <v>701</v>
      </c>
      <c r="B10393" t="s">
        <v>145</v>
      </c>
      <c r="C10393" s="2">
        <f>HYPERLINK("https://sao.dolgi.msk.ru/account/1404281077/", 1404281077)</f>
        <v>1404281077</v>
      </c>
      <c r="D10393">
        <v>0</v>
      </c>
    </row>
    <row r="10394" spans="1:4" hidden="1" x14ac:dyDescent="0.25">
      <c r="A10394" t="s">
        <v>701</v>
      </c>
      <c r="B10394" t="s">
        <v>146</v>
      </c>
      <c r="C10394" s="2">
        <f>HYPERLINK("https://sao.dolgi.msk.ru/account/1404280277/", 1404280277)</f>
        <v>1404280277</v>
      </c>
      <c r="D10394">
        <v>0</v>
      </c>
    </row>
    <row r="10395" spans="1:4" hidden="1" x14ac:dyDescent="0.25">
      <c r="A10395" t="s">
        <v>701</v>
      </c>
      <c r="B10395" t="s">
        <v>147</v>
      </c>
      <c r="C10395" s="2">
        <f>HYPERLINK("https://sao.dolgi.msk.ru/account/1404280971/", 1404280971)</f>
        <v>1404280971</v>
      </c>
      <c r="D10395">
        <v>0</v>
      </c>
    </row>
    <row r="10396" spans="1:4" x14ac:dyDescent="0.25">
      <c r="A10396" t="s">
        <v>701</v>
      </c>
      <c r="B10396" t="s">
        <v>148</v>
      </c>
      <c r="C10396" s="2">
        <f>HYPERLINK("https://sao.dolgi.msk.ru/account/1404282432/", 1404282432)</f>
        <v>1404282432</v>
      </c>
      <c r="D10396">
        <v>7736.9</v>
      </c>
    </row>
    <row r="10397" spans="1:4" hidden="1" x14ac:dyDescent="0.25">
      <c r="A10397" t="s">
        <v>701</v>
      </c>
      <c r="B10397" t="s">
        <v>149</v>
      </c>
      <c r="C10397" s="2">
        <f>HYPERLINK("https://sao.dolgi.msk.ru/account/1404279671/", 1404279671)</f>
        <v>1404279671</v>
      </c>
      <c r="D10397">
        <v>-3984.11</v>
      </c>
    </row>
    <row r="10398" spans="1:4" hidden="1" x14ac:dyDescent="0.25">
      <c r="A10398" t="s">
        <v>701</v>
      </c>
      <c r="B10398" t="s">
        <v>150</v>
      </c>
      <c r="C10398" s="2">
        <f>HYPERLINK("https://sao.dolgi.msk.ru/account/1404280664/", 1404280664)</f>
        <v>1404280664</v>
      </c>
      <c r="D10398">
        <v>-6662.79</v>
      </c>
    </row>
    <row r="10399" spans="1:4" hidden="1" x14ac:dyDescent="0.25">
      <c r="A10399" t="s">
        <v>701</v>
      </c>
      <c r="B10399" t="s">
        <v>151</v>
      </c>
      <c r="C10399" s="2">
        <f>HYPERLINK("https://sao.dolgi.msk.ru/account/1404281149/", 1404281149)</f>
        <v>1404281149</v>
      </c>
      <c r="D10399">
        <v>0</v>
      </c>
    </row>
    <row r="10400" spans="1:4" hidden="1" x14ac:dyDescent="0.25">
      <c r="A10400" t="s">
        <v>701</v>
      </c>
      <c r="B10400" t="s">
        <v>152</v>
      </c>
      <c r="C10400" s="2">
        <f>HYPERLINK("https://sao.dolgi.msk.ru/account/1404282264/", 1404282264)</f>
        <v>1404282264</v>
      </c>
      <c r="D10400">
        <v>0</v>
      </c>
    </row>
    <row r="10401" spans="1:4" hidden="1" x14ac:dyDescent="0.25">
      <c r="A10401" t="s">
        <v>701</v>
      </c>
      <c r="B10401" t="s">
        <v>153</v>
      </c>
      <c r="C10401" s="2">
        <f>HYPERLINK("https://sao.dolgi.msk.ru/account/1404281624/", 1404281624)</f>
        <v>1404281624</v>
      </c>
      <c r="D10401">
        <v>-4061.74</v>
      </c>
    </row>
    <row r="10402" spans="1:4" hidden="1" x14ac:dyDescent="0.25">
      <c r="A10402" t="s">
        <v>701</v>
      </c>
      <c r="B10402" t="s">
        <v>154</v>
      </c>
      <c r="C10402" s="2">
        <f>HYPERLINK("https://sao.dolgi.msk.ru/account/1404281894/", 1404281894)</f>
        <v>1404281894</v>
      </c>
      <c r="D10402">
        <v>0</v>
      </c>
    </row>
    <row r="10403" spans="1:4" hidden="1" x14ac:dyDescent="0.25">
      <c r="A10403" t="s">
        <v>701</v>
      </c>
      <c r="B10403" t="s">
        <v>155</v>
      </c>
      <c r="C10403" s="2">
        <f>HYPERLINK("https://sao.dolgi.msk.ru/account/1404281798/", 1404281798)</f>
        <v>1404281798</v>
      </c>
      <c r="D10403">
        <v>-5700.09</v>
      </c>
    </row>
    <row r="10404" spans="1:4" hidden="1" x14ac:dyDescent="0.25">
      <c r="A10404" t="s">
        <v>701</v>
      </c>
      <c r="B10404" t="s">
        <v>156</v>
      </c>
      <c r="C10404" s="2">
        <f>HYPERLINK("https://sao.dolgi.msk.ru/account/1404281026/", 1404281026)</f>
        <v>1404281026</v>
      </c>
      <c r="D10404">
        <v>-6159.33</v>
      </c>
    </row>
    <row r="10405" spans="1:4" hidden="1" x14ac:dyDescent="0.25">
      <c r="A10405" t="s">
        <v>701</v>
      </c>
      <c r="B10405" t="s">
        <v>157</v>
      </c>
      <c r="C10405" s="2">
        <f>HYPERLINK("https://sao.dolgi.msk.ru/account/1404281982/", 1404281982)</f>
        <v>1404281982</v>
      </c>
      <c r="D10405">
        <v>-3946.28</v>
      </c>
    </row>
    <row r="10406" spans="1:4" hidden="1" x14ac:dyDescent="0.25">
      <c r="A10406" t="s">
        <v>701</v>
      </c>
      <c r="B10406" t="s">
        <v>158</v>
      </c>
      <c r="C10406" s="2">
        <f>HYPERLINK("https://sao.dolgi.msk.ru/account/1404279997/", 1404279997)</f>
        <v>1404279997</v>
      </c>
      <c r="D10406">
        <v>-4827.5</v>
      </c>
    </row>
    <row r="10407" spans="1:4" hidden="1" x14ac:dyDescent="0.25">
      <c r="A10407" t="s">
        <v>701</v>
      </c>
      <c r="B10407" t="s">
        <v>159</v>
      </c>
      <c r="C10407" s="2">
        <f>HYPERLINK("https://sao.dolgi.msk.ru/account/1404279399/", 1404279399)</f>
        <v>1404279399</v>
      </c>
      <c r="D10407">
        <v>-10193.33</v>
      </c>
    </row>
    <row r="10408" spans="1:4" x14ac:dyDescent="0.25">
      <c r="A10408" t="s">
        <v>701</v>
      </c>
      <c r="B10408" t="s">
        <v>160</v>
      </c>
      <c r="C10408" s="2">
        <f>HYPERLINK("https://sao.dolgi.msk.ru/account/1404282635/", 1404282635)</f>
        <v>1404282635</v>
      </c>
      <c r="D10408">
        <v>23703.48</v>
      </c>
    </row>
    <row r="10409" spans="1:4" hidden="1" x14ac:dyDescent="0.25">
      <c r="A10409" t="s">
        <v>701</v>
      </c>
      <c r="B10409" t="s">
        <v>161</v>
      </c>
      <c r="C10409" s="2">
        <f>HYPERLINK("https://sao.dolgi.msk.ru/account/1404280314/", 1404280314)</f>
        <v>1404280314</v>
      </c>
      <c r="D10409">
        <v>-6705.74</v>
      </c>
    </row>
    <row r="10410" spans="1:4" hidden="1" x14ac:dyDescent="0.25">
      <c r="A10410" t="s">
        <v>701</v>
      </c>
      <c r="B10410" t="s">
        <v>162</v>
      </c>
      <c r="C10410" s="2">
        <f>HYPERLINK("https://sao.dolgi.msk.ru/account/1404279452/", 1404279452)</f>
        <v>1404279452</v>
      </c>
      <c r="D10410">
        <v>0</v>
      </c>
    </row>
    <row r="10411" spans="1:4" hidden="1" x14ac:dyDescent="0.25">
      <c r="A10411" t="s">
        <v>701</v>
      </c>
      <c r="B10411" t="s">
        <v>163</v>
      </c>
      <c r="C10411" s="2">
        <f>HYPERLINK("https://sao.dolgi.msk.ru/account/1404280146/", 1404280146)</f>
        <v>1404280146</v>
      </c>
      <c r="D10411">
        <v>0</v>
      </c>
    </row>
    <row r="10412" spans="1:4" hidden="1" x14ac:dyDescent="0.25">
      <c r="A10412" t="s">
        <v>701</v>
      </c>
      <c r="B10412" t="s">
        <v>164</v>
      </c>
      <c r="C10412" s="2">
        <f>HYPERLINK("https://sao.dolgi.msk.ru/account/1404282002/", 1404282002)</f>
        <v>1404282002</v>
      </c>
      <c r="D10412">
        <v>0</v>
      </c>
    </row>
    <row r="10413" spans="1:4" hidden="1" x14ac:dyDescent="0.25">
      <c r="A10413" t="s">
        <v>701</v>
      </c>
      <c r="B10413" t="s">
        <v>165</v>
      </c>
      <c r="C10413" s="2">
        <f>HYPERLINK("https://sao.dolgi.msk.ru/account/1404282408/", 1404282408)</f>
        <v>1404282408</v>
      </c>
      <c r="D10413">
        <v>0</v>
      </c>
    </row>
    <row r="10414" spans="1:4" hidden="1" x14ac:dyDescent="0.25">
      <c r="A10414" t="s">
        <v>701</v>
      </c>
      <c r="B10414" t="s">
        <v>166</v>
      </c>
      <c r="C10414" s="2">
        <f>HYPERLINK("https://sao.dolgi.msk.ru/account/1404281923/", 1404281923)</f>
        <v>1404281923</v>
      </c>
      <c r="D10414">
        <v>0</v>
      </c>
    </row>
    <row r="10415" spans="1:4" hidden="1" x14ac:dyDescent="0.25">
      <c r="A10415" t="s">
        <v>701</v>
      </c>
      <c r="B10415" t="s">
        <v>167</v>
      </c>
      <c r="C10415" s="2">
        <f>HYPERLINK("https://sao.dolgi.msk.ru/account/1404281085/", 1404281085)</f>
        <v>1404281085</v>
      </c>
      <c r="D10415">
        <v>0</v>
      </c>
    </row>
    <row r="10416" spans="1:4" hidden="1" x14ac:dyDescent="0.25">
      <c r="A10416" t="s">
        <v>701</v>
      </c>
      <c r="B10416" t="s">
        <v>168</v>
      </c>
      <c r="C10416" s="2">
        <f>HYPERLINK("https://sao.dolgi.msk.ru/account/1404280306/", 1404280306)</f>
        <v>1404280306</v>
      </c>
      <c r="D10416">
        <v>-3805.03</v>
      </c>
    </row>
    <row r="10417" spans="1:4" hidden="1" x14ac:dyDescent="0.25">
      <c r="A10417" t="s">
        <v>701</v>
      </c>
      <c r="B10417" t="s">
        <v>169</v>
      </c>
      <c r="C10417" s="2">
        <f>HYPERLINK("https://sao.dolgi.msk.ru/account/1404279743/", 1404279743)</f>
        <v>1404279743</v>
      </c>
      <c r="D10417">
        <v>-5188.62</v>
      </c>
    </row>
    <row r="10418" spans="1:4" hidden="1" x14ac:dyDescent="0.25">
      <c r="A10418" t="s">
        <v>701</v>
      </c>
      <c r="B10418" t="s">
        <v>170</v>
      </c>
      <c r="C10418" s="2">
        <f>HYPERLINK("https://sao.dolgi.msk.ru/account/1404280963/", 1404280963)</f>
        <v>1404280963</v>
      </c>
      <c r="D10418">
        <v>-8427.69</v>
      </c>
    </row>
    <row r="10419" spans="1:4" hidden="1" x14ac:dyDescent="0.25">
      <c r="A10419" t="s">
        <v>701</v>
      </c>
      <c r="B10419" t="s">
        <v>171</v>
      </c>
      <c r="C10419" s="2">
        <f>HYPERLINK("https://sao.dolgi.msk.ru/account/1404280269/", 1404280269)</f>
        <v>1404280269</v>
      </c>
      <c r="D10419">
        <v>-5009.6499999999996</v>
      </c>
    </row>
    <row r="10420" spans="1:4" hidden="1" x14ac:dyDescent="0.25">
      <c r="A10420" t="s">
        <v>701</v>
      </c>
      <c r="B10420" t="s">
        <v>172</v>
      </c>
      <c r="C10420" s="2">
        <f>HYPERLINK("https://sao.dolgi.msk.ru/account/1404280576/", 1404280576)</f>
        <v>1404280576</v>
      </c>
      <c r="D10420">
        <v>-2778.08</v>
      </c>
    </row>
    <row r="10421" spans="1:4" x14ac:dyDescent="0.25">
      <c r="A10421" t="s">
        <v>701</v>
      </c>
      <c r="B10421" t="s">
        <v>173</v>
      </c>
      <c r="C10421" s="2">
        <f>HYPERLINK("https://sao.dolgi.msk.ru/account/1404282395/", 1404282395)</f>
        <v>1404282395</v>
      </c>
      <c r="D10421">
        <v>76469.509999999995</v>
      </c>
    </row>
    <row r="10422" spans="1:4" hidden="1" x14ac:dyDescent="0.25">
      <c r="A10422" t="s">
        <v>701</v>
      </c>
      <c r="B10422" t="s">
        <v>174</v>
      </c>
      <c r="C10422" s="2">
        <f>HYPERLINK("https://sao.dolgi.msk.ru/account/1404281931/", 1404281931)</f>
        <v>1404281931</v>
      </c>
      <c r="D10422">
        <v>0</v>
      </c>
    </row>
    <row r="10423" spans="1:4" hidden="1" x14ac:dyDescent="0.25">
      <c r="A10423" t="s">
        <v>701</v>
      </c>
      <c r="B10423" t="s">
        <v>175</v>
      </c>
      <c r="C10423" s="2">
        <f>HYPERLINK("https://sao.dolgi.msk.ru/account/1404280541/", 1404280541)</f>
        <v>1404280541</v>
      </c>
      <c r="D10423">
        <v>0</v>
      </c>
    </row>
    <row r="10424" spans="1:4" hidden="1" x14ac:dyDescent="0.25">
      <c r="A10424" t="s">
        <v>701</v>
      </c>
      <c r="B10424" t="s">
        <v>176</v>
      </c>
      <c r="C10424" s="2">
        <f>HYPERLINK("https://sao.dolgi.msk.ru/account/1404279954/", 1404279954)</f>
        <v>1404279954</v>
      </c>
      <c r="D10424">
        <v>-2274.34</v>
      </c>
    </row>
    <row r="10425" spans="1:4" hidden="1" x14ac:dyDescent="0.25">
      <c r="A10425" t="s">
        <v>701</v>
      </c>
      <c r="B10425" t="s">
        <v>177</v>
      </c>
      <c r="C10425" s="2">
        <f>HYPERLINK("https://sao.dolgi.msk.ru/account/1404282387/", 1404282387)</f>
        <v>1404282387</v>
      </c>
      <c r="D10425">
        <v>0</v>
      </c>
    </row>
    <row r="10426" spans="1:4" x14ac:dyDescent="0.25">
      <c r="A10426" t="s">
        <v>701</v>
      </c>
      <c r="B10426" t="s">
        <v>178</v>
      </c>
      <c r="C10426" s="2">
        <f>HYPERLINK("https://sao.dolgi.msk.ru/account/1404281181/", 1404281181)</f>
        <v>1404281181</v>
      </c>
      <c r="D10426">
        <v>13065.59</v>
      </c>
    </row>
    <row r="10427" spans="1:4" hidden="1" x14ac:dyDescent="0.25">
      <c r="A10427" t="s">
        <v>701</v>
      </c>
      <c r="B10427" t="s">
        <v>179</v>
      </c>
      <c r="C10427" s="2">
        <f>HYPERLINK("https://sao.dolgi.msk.ru/account/1404280517/", 1404280517)</f>
        <v>1404280517</v>
      </c>
      <c r="D10427">
        <v>0</v>
      </c>
    </row>
    <row r="10428" spans="1:4" hidden="1" x14ac:dyDescent="0.25">
      <c r="A10428" t="s">
        <v>701</v>
      </c>
      <c r="B10428" t="s">
        <v>179</v>
      </c>
      <c r="C10428" s="2">
        <f>HYPERLINK("https://sao.dolgi.msk.ru/account/1404282029/", 1404282029)</f>
        <v>1404282029</v>
      </c>
      <c r="D10428">
        <v>-1538.49</v>
      </c>
    </row>
    <row r="10429" spans="1:4" hidden="1" x14ac:dyDescent="0.25">
      <c r="A10429" t="s">
        <v>701</v>
      </c>
      <c r="B10429" t="s">
        <v>180</v>
      </c>
      <c r="C10429" s="2">
        <f>HYPERLINK("https://sao.dolgi.msk.ru/account/1404280867/", 1404280867)</f>
        <v>1404280867</v>
      </c>
      <c r="D10429">
        <v>0</v>
      </c>
    </row>
    <row r="10430" spans="1:4" hidden="1" x14ac:dyDescent="0.25">
      <c r="A10430" t="s">
        <v>701</v>
      </c>
      <c r="B10430" t="s">
        <v>181</v>
      </c>
      <c r="C10430" s="2">
        <f>HYPERLINK("https://sao.dolgi.msk.ru/account/1404280947/", 1404280947)</f>
        <v>1404280947</v>
      </c>
      <c r="D10430">
        <v>-1231</v>
      </c>
    </row>
    <row r="10431" spans="1:4" hidden="1" x14ac:dyDescent="0.25">
      <c r="A10431" t="s">
        <v>701</v>
      </c>
      <c r="B10431" t="s">
        <v>182</v>
      </c>
      <c r="C10431" s="2">
        <f>HYPERLINK("https://sao.dolgi.msk.ru/account/1404279751/", 1404279751)</f>
        <v>1404279751</v>
      </c>
      <c r="D10431">
        <v>-130.26</v>
      </c>
    </row>
    <row r="10432" spans="1:4" hidden="1" x14ac:dyDescent="0.25">
      <c r="A10432" t="s">
        <v>701</v>
      </c>
      <c r="B10432" t="s">
        <v>183</v>
      </c>
      <c r="C10432" s="2">
        <f>HYPERLINK("https://sao.dolgi.msk.ru/account/1404281851/", 1404281851)</f>
        <v>1404281851</v>
      </c>
      <c r="D10432">
        <v>0</v>
      </c>
    </row>
    <row r="10433" spans="1:4" hidden="1" x14ac:dyDescent="0.25">
      <c r="A10433" t="s">
        <v>701</v>
      </c>
      <c r="B10433" t="s">
        <v>184</v>
      </c>
      <c r="C10433" s="2">
        <f>HYPERLINK("https://sao.dolgi.msk.ru/account/1404280242/", 1404280242)</f>
        <v>1404280242</v>
      </c>
      <c r="D10433">
        <v>0</v>
      </c>
    </row>
    <row r="10434" spans="1:4" hidden="1" x14ac:dyDescent="0.25">
      <c r="A10434" t="s">
        <v>701</v>
      </c>
      <c r="B10434" t="s">
        <v>185</v>
      </c>
      <c r="C10434" s="2">
        <f>HYPERLINK("https://sao.dolgi.msk.ru/account/1404280373/", 1404280373)</f>
        <v>1404280373</v>
      </c>
      <c r="D10434">
        <v>-9852.65</v>
      </c>
    </row>
    <row r="10435" spans="1:4" hidden="1" x14ac:dyDescent="0.25">
      <c r="A10435" t="s">
        <v>701</v>
      </c>
      <c r="B10435" t="s">
        <v>186</v>
      </c>
      <c r="C10435" s="2">
        <f>HYPERLINK("https://sao.dolgi.msk.ru/account/1404280381/", 1404280381)</f>
        <v>1404280381</v>
      </c>
      <c r="D10435">
        <v>0</v>
      </c>
    </row>
    <row r="10436" spans="1:4" hidden="1" x14ac:dyDescent="0.25">
      <c r="A10436" t="s">
        <v>701</v>
      </c>
      <c r="B10436" t="s">
        <v>187</v>
      </c>
      <c r="C10436" s="2">
        <f>HYPERLINK("https://sao.dolgi.msk.ru/account/1404281501/", 1404281501)</f>
        <v>1404281501</v>
      </c>
      <c r="D10436">
        <v>0</v>
      </c>
    </row>
    <row r="10437" spans="1:4" hidden="1" x14ac:dyDescent="0.25">
      <c r="A10437" t="s">
        <v>701</v>
      </c>
      <c r="B10437" t="s">
        <v>188</v>
      </c>
      <c r="C10437" s="2">
        <f>HYPERLINK("https://sao.dolgi.msk.ru/account/1404279532/", 1404279532)</f>
        <v>1404279532</v>
      </c>
      <c r="D10437">
        <v>-5114.1400000000003</v>
      </c>
    </row>
    <row r="10438" spans="1:4" hidden="1" x14ac:dyDescent="0.25">
      <c r="A10438" t="s">
        <v>701</v>
      </c>
      <c r="B10438" t="s">
        <v>189</v>
      </c>
      <c r="C10438" s="2">
        <f>HYPERLINK("https://sao.dolgi.msk.ru/account/1404279444/", 1404279444)</f>
        <v>1404279444</v>
      </c>
      <c r="D10438">
        <v>-3799.45</v>
      </c>
    </row>
    <row r="10439" spans="1:4" hidden="1" x14ac:dyDescent="0.25">
      <c r="A10439" t="s">
        <v>701</v>
      </c>
      <c r="B10439" t="s">
        <v>190</v>
      </c>
      <c r="C10439" s="2">
        <f>HYPERLINK("https://sao.dolgi.msk.ru/account/1404279516/", 1404279516)</f>
        <v>1404279516</v>
      </c>
      <c r="D10439">
        <v>-7274.72</v>
      </c>
    </row>
    <row r="10440" spans="1:4" hidden="1" x14ac:dyDescent="0.25">
      <c r="A10440" t="s">
        <v>701</v>
      </c>
      <c r="B10440" t="s">
        <v>191</v>
      </c>
      <c r="C10440" s="2">
        <f>HYPERLINK("https://sao.dolgi.msk.ru/account/1404280234/", 1404280234)</f>
        <v>1404280234</v>
      </c>
      <c r="D10440">
        <v>-9536.17</v>
      </c>
    </row>
    <row r="10441" spans="1:4" hidden="1" x14ac:dyDescent="0.25">
      <c r="A10441" t="s">
        <v>701</v>
      </c>
      <c r="B10441" t="s">
        <v>192</v>
      </c>
      <c r="C10441" s="2">
        <f>HYPERLINK("https://sao.dolgi.msk.ru/account/1404280066/", 1404280066)</f>
        <v>1404280066</v>
      </c>
      <c r="D10441">
        <v>-5499.14</v>
      </c>
    </row>
    <row r="10442" spans="1:4" hidden="1" x14ac:dyDescent="0.25">
      <c r="A10442" t="s">
        <v>701</v>
      </c>
      <c r="B10442" t="s">
        <v>193</v>
      </c>
      <c r="C10442" s="2">
        <f>HYPERLINK("https://sao.dolgi.msk.ru/account/1404280023/", 1404280023)</f>
        <v>1404280023</v>
      </c>
      <c r="D10442">
        <v>-8227.31</v>
      </c>
    </row>
    <row r="10443" spans="1:4" hidden="1" x14ac:dyDescent="0.25">
      <c r="A10443" t="s">
        <v>701</v>
      </c>
      <c r="B10443" t="s">
        <v>194</v>
      </c>
      <c r="C10443" s="2">
        <f>HYPERLINK("https://sao.dolgi.msk.ru/account/1404281616/", 1404281616)</f>
        <v>1404281616</v>
      </c>
      <c r="D10443">
        <v>-6455.51</v>
      </c>
    </row>
    <row r="10444" spans="1:4" hidden="1" x14ac:dyDescent="0.25">
      <c r="A10444" t="s">
        <v>701</v>
      </c>
      <c r="B10444" t="s">
        <v>195</v>
      </c>
      <c r="C10444" s="2">
        <f>HYPERLINK("https://sao.dolgi.msk.ru/account/1404279962/", 1404279962)</f>
        <v>1404279962</v>
      </c>
      <c r="D10444">
        <v>0</v>
      </c>
    </row>
    <row r="10445" spans="1:4" hidden="1" x14ac:dyDescent="0.25">
      <c r="A10445" t="s">
        <v>701</v>
      </c>
      <c r="B10445" t="s">
        <v>196</v>
      </c>
      <c r="C10445" s="2">
        <f>HYPERLINK("https://sao.dolgi.msk.ru/account/1404279831/", 1404279831)</f>
        <v>1404279831</v>
      </c>
      <c r="D10445">
        <v>-5544.1</v>
      </c>
    </row>
    <row r="10446" spans="1:4" hidden="1" x14ac:dyDescent="0.25">
      <c r="A10446" t="s">
        <v>701</v>
      </c>
      <c r="B10446" t="s">
        <v>197</v>
      </c>
      <c r="C10446" s="2">
        <f>HYPERLINK("https://sao.dolgi.msk.ru/account/1404280445/", 1404280445)</f>
        <v>1404280445</v>
      </c>
      <c r="D10446">
        <v>0</v>
      </c>
    </row>
    <row r="10447" spans="1:4" hidden="1" x14ac:dyDescent="0.25">
      <c r="A10447" t="s">
        <v>701</v>
      </c>
      <c r="B10447" t="s">
        <v>198</v>
      </c>
      <c r="C10447" s="2">
        <f>HYPERLINK("https://sao.dolgi.msk.ru/account/1404280402/", 1404280402)</f>
        <v>1404280402</v>
      </c>
      <c r="D10447">
        <v>0</v>
      </c>
    </row>
    <row r="10448" spans="1:4" hidden="1" x14ac:dyDescent="0.25">
      <c r="A10448" t="s">
        <v>701</v>
      </c>
      <c r="B10448" t="s">
        <v>199</v>
      </c>
      <c r="C10448" s="2">
        <f>HYPERLINK("https://sao.dolgi.msk.ru/account/1404281069/", 1404281069)</f>
        <v>1404281069</v>
      </c>
      <c r="D10448">
        <v>-7081.98</v>
      </c>
    </row>
    <row r="10449" spans="1:4" hidden="1" x14ac:dyDescent="0.25">
      <c r="A10449" t="s">
        <v>701</v>
      </c>
      <c r="B10449" t="s">
        <v>200</v>
      </c>
      <c r="C10449" s="2">
        <f>HYPERLINK("https://sao.dolgi.msk.ru/account/1404282555/", 1404282555)</f>
        <v>1404282555</v>
      </c>
      <c r="D10449">
        <v>-3989.48</v>
      </c>
    </row>
    <row r="10450" spans="1:4" hidden="1" x14ac:dyDescent="0.25">
      <c r="A10450" t="s">
        <v>701</v>
      </c>
      <c r="B10450" t="s">
        <v>201</v>
      </c>
      <c r="C10450" s="2">
        <f>HYPERLINK("https://sao.dolgi.msk.ru/account/1404281368/", 1404281368)</f>
        <v>1404281368</v>
      </c>
      <c r="D10450">
        <v>-2735.42</v>
      </c>
    </row>
    <row r="10451" spans="1:4" hidden="1" x14ac:dyDescent="0.25">
      <c r="A10451" t="s">
        <v>701</v>
      </c>
      <c r="B10451" t="s">
        <v>202</v>
      </c>
      <c r="C10451" s="2">
        <f>HYPERLINK("https://sao.dolgi.msk.ru/account/1404279583/", 1404279583)</f>
        <v>1404279583</v>
      </c>
      <c r="D10451">
        <v>-12230.05</v>
      </c>
    </row>
    <row r="10452" spans="1:4" hidden="1" x14ac:dyDescent="0.25">
      <c r="A10452" t="s">
        <v>701</v>
      </c>
      <c r="B10452" t="s">
        <v>203</v>
      </c>
      <c r="C10452" s="2">
        <f>HYPERLINK("https://sao.dolgi.msk.ru/account/1404282467/", 1404282467)</f>
        <v>1404282467</v>
      </c>
      <c r="D10452">
        <v>0</v>
      </c>
    </row>
    <row r="10453" spans="1:4" hidden="1" x14ac:dyDescent="0.25">
      <c r="A10453" t="s">
        <v>701</v>
      </c>
      <c r="B10453" t="s">
        <v>204</v>
      </c>
      <c r="C10453" s="2">
        <f>HYPERLINK("https://sao.dolgi.msk.ru/account/1404280103/", 1404280103)</f>
        <v>1404280103</v>
      </c>
      <c r="D10453">
        <v>-1789.3</v>
      </c>
    </row>
    <row r="10454" spans="1:4" hidden="1" x14ac:dyDescent="0.25">
      <c r="A10454" t="s">
        <v>701</v>
      </c>
      <c r="B10454" t="s">
        <v>204</v>
      </c>
      <c r="C10454" s="2">
        <f>HYPERLINK("https://sao.dolgi.msk.ru/account/1404281587/", 1404281587)</f>
        <v>1404281587</v>
      </c>
      <c r="D10454">
        <v>-2821.69</v>
      </c>
    </row>
    <row r="10455" spans="1:4" hidden="1" x14ac:dyDescent="0.25">
      <c r="A10455" t="s">
        <v>701</v>
      </c>
      <c r="B10455" t="s">
        <v>205</v>
      </c>
      <c r="C10455" s="2">
        <f>HYPERLINK("https://sao.dolgi.msk.ru/account/1404281755/", 1404281755)</f>
        <v>1404281755</v>
      </c>
      <c r="D10455">
        <v>0</v>
      </c>
    </row>
    <row r="10456" spans="1:4" hidden="1" x14ac:dyDescent="0.25">
      <c r="A10456" t="s">
        <v>701</v>
      </c>
      <c r="B10456" t="s">
        <v>206</v>
      </c>
      <c r="C10456" s="2">
        <f>HYPERLINK("https://sao.dolgi.msk.ru/account/1404280357/", 1404280357)</f>
        <v>1404280357</v>
      </c>
      <c r="D10456">
        <v>0.1</v>
      </c>
    </row>
    <row r="10457" spans="1:4" hidden="1" x14ac:dyDescent="0.25">
      <c r="A10457" t="s">
        <v>701</v>
      </c>
      <c r="B10457" t="s">
        <v>207</v>
      </c>
      <c r="C10457" s="2">
        <f>HYPERLINK("https://sao.dolgi.msk.ru/account/1404282539/", 1404282539)</f>
        <v>1404282539</v>
      </c>
      <c r="D10457">
        <v>0</v>
      </c>
    </row>
    <row r="10458" spans="1:4" hidden="1" x14ac:dyDescent="0.25">
      <c r="A10458" t="s">
        <v>701</v>
      </c>
      <c r="B10458" t="s">
        <v>208</v>
      </c>
      <c r="C10458" s="2">
        <f>HYPERLINK("https://sao.dolgi.msk.ru/account/1404174669/", 1404174669)</f>
        <v>1404174669</v>
      </c>
      <c r="D10458">
        <v>-3628.65</v>
      </c>
    </row>
    <row r="10459" spans="1:4" hidden="1" x14ac:dyDescent="0.25">
      <c r="A10459" t="s">
        <v>701</v>
      </c>
      <c r="B10459" t="s">
        <v>208</v>
      </c>
      <c r="C10459" s="2">
        <f>HYPERLINK("https://sao.dolgi.msk.ru/account/1404279567/", 1404279567)</f>
        <v>1404279567</v>
      </c>
      <c r="D10459">
        <v>-3952.65</v>
      </c>
    </row>
    <row r="10460" spans="1:4" x14ac:dyDescent="0.25">
      <c r="A10460" t="s">
        <v>701</v>
      </c>
      <c r="B10460" t="s">
        <v>209</v>
      </c>
      <c r="C10460" s="2">
        <f>HYPERLINK("https://sao.dolgi.msk.ru/account/1404280058/", 1404280058)</f>
        <v>1404280058</v>
      </c>
      <c r="D10460">
        <v>6632.41</v>
      </c>
    </row>
    <row r="10461" spans="1:4" hidden="1" x14ac:dyDescent="0.25">
      <c r="A10461" t="s">
        <v>701</v>
      </c>
      <c r="B10461" t="s">
        <v>210</v>
      </c>
      <c r="C10461" s="2">
        <f>HYPERLINK("https://sao.dolgi.msk.ru/account/1404281261/", 1404281261)</f>
        <v>1404281261</v>
      </c>
      <c r="D10461">
        <v>-8906.48</v>
      </c>
    </row>
    <row r="10462" spans="1:4" hidden="1" x14ac:dyDescent="0.25">
      <c r="A10462" t="s">
        <v>701</v>
      </c>
      <c r="B10462" t="s">
        <v>211</v>
      </c>
      <c r="C10462" s="2">
        <f>HYPERLINK("https://sao.dolgi.msk.ru/account/1404282133/", 1404282133)</f>
        <v>1404282133</v>
      </c>
      <c r="D10462">
        <v>0</v>
      </c>
    </row>
    <row r="10463" spans="1:4" hidden="1" x14ac:dyDescent="0.25">
      <c r="A10463" t="s">
        <v>701</v>
      </c>
      <c r="B10463" t="s">
        <v>212</v>
      </c>
      <c r="C10463" s="2">
        <f>HYPERLINK("https://sao.dolgi.msk.ru/account/1404282117/", 1404282117)</f>
        <v>1404282117</v>
      </c>
      <c r="D10463">
        <v>-3862.04</v>
      </c>
    </row>
    <row r="10464" spans="1:4" hidden="1" x14ac:dyDescent="0.25">
      <c r="A10464" t="s">
        <v>701</v>
      </c>
      <c r="B10464" t="s">
        <v>213</v>
      </c>
      <c r="C10464" s="2">
        <f>HYPERLINK("https://sao.dolgi.msk.ru/account/1404279559/", 1404279559)</f>
        <v>1404279559</v>
      </c>
      <c r="D10464">
        <v>-5875.68</v>
      </c>
    </row>
    <row r="10465" spans="1:4" hidden="1" x14ac:dyDescent="0.25">
      <c r="A10465" t="s">
        <v>701</v>
      </c>
      <c r="B10465" t="s">
        <v>214</v>
      </c>
      <c r="C10465" s="2">
        <f>HYPERLINK("https://sao.dolgi.msk.ru/account/1404281202/", 1404281202)</f>
        <v>1404281202</v>
      </c>
      <c r="D10465">
        <v>-5832.84</v>
      </c>
    </row>
    <row r="10466" spans="1:4" hidden="1" x14ac:dyDescent="0.25">
      <c r="A10466" t="s">
        <v>701</v>
      </c>
      <c r="B10466" t="s">
        <v>215</v>
      </c>
      <c r="C10466" s="2">
        <f>HYPERLINK("https://sao.dolgi.msk.ru/account/1404280779/", 1404280779)</f>
        <v>1404280779</v>
      </c>
      <c r="D10466">
        <v>-5371.16</v>
      </c>
    </row>
    <row r="10467" spans="1:4" hidden="1" x14ac:dyDescent="0.25">
      <c r="A10467" t="s">
        <v>701</v>
      </c>
      <c r="B10467" t="s">
        <v>216</v>
      </c>
      <c r="C10467" s="2">
        <f>HYPERLINK("https://sao.dolgi.msk.ru/account/1404281317/", 1404281317)</f>
        <v>1404281317</v>
      </c>
      <c r="D10467">
        <v>0</v>
      </c>
    </row>
    <row r="10468" spans="1:4" hidden="1" x14ac:dyDescent="0.25">
      <c r="A10468" t="s">
        <v>701</v>
      </c>
      <c r="B10468" t="s">
        <v>217</v>
      </c>
      <c r="C10468" s="2">
        <f>HYPERLINK("https://sao.dolgi.msk.ru/account/1404281456/", 1404281456)</f>
        <v>1404281456</v>
      </c>
      <c r="D10468">
        <v>-6551.3</v>
      </c>
    </row>
    <row r="10469" spans="1:4" hidden="1" x14ac:dyDescent="0.25">
      <c r="A10469" t="s">
        <v>701</v>
      </c>
      <c r="B10469" t="s">
        <v>218</v>
      </c>
      <c r="C10469" s="2">
        <f>HYPERLINK("https://sao.dolgi.msk.ru/account/1404282547/", 1404282547)</f>
        <v>1404282547</v>
      </c>
      <c r="D10469">
        <v>0</v>
      </c>
    </row>
    <row r="10470" spans="1:4" hidden="1" x14ac:dyDescent="0.25">
      <c r="A10470" t="s">
        <v>701</v>
      </c>
      <c r="B10470" t="s">
        <v>219</v>
      </c>
      <c r="C10470" s="2">
        <f>HYPERLINK("https://sao.dolgi.msk.ru/account/1404280082/", 1404280082)</f>
        <v>1404280082</v>
      </c>
      <c r="D10470">
        <v>-4808.58</v>
      </c>
    </row>
    <row r="10471" spans="1:4" hidden="1" x14ac:dyDescent="0.25">
      <c r="A10471" t="s">
        <v>701</v>
      </c>
      <c r="B10471" t="s">
        <v>220</v>
      </c>
      <c r="C10471" s="2">
        <f>HYPERLINK("https://sao.dolgi.msk.ru/account/1404281771/", 1404281771)</f>
        <v>1404281771</v>
      </c>
      <c r="D10471">
        <v>-6518.22</v>
      </c>
    </row>
    <row r="10472" spans="1:4" hidden="1" x14ac:dyDescent="0.25">
      <c r="A10472" t="s">
        <v>701</v>
      </c>
      <c r="B10472" t="s">
        <v>221</v>
      </c>
      <c r="C10472" s="2">
        <f>HYPERLINK("https://sao.dolgi.msk.ru/account/1404280525/", 1404280525)</f>
        <v>1404280525</v>
      </c>
      <c r="D10472">
        <v>-7252.15</v>
      </c>
    </row>
    <row r="10473" spans="1:4" hidden="1" x14ac:dyDescent="0.25">
      <c r="A10473" t="s">
        <v>701</v>
      </c>
      <c r="B10473" t="s">
        <v>222</v>
      </c>
      <c r="C10473" s="2">
        <f>HYPERLINK("https://sao.dolgi.msk.ru/account/1404279508/", 1404279508)</f>
        <v>1404279508</v>
      </c>
      <c r="D10473">
        <v>-9908.1299999999992</v>
      </c>
    </row>
    <row r="10474" spans="1:4" hidden="1" x14ac:dyDescent="0.25">
      <c r="A10474" t="s">
        <v>701</v>
      </c>
      <c r="B10474" t="s">
        <v>223</v>
      </c>
      <c r="C10474" s="2">
        <f>HYPERLINK("https://sao.dolgi.msk.ru/account/1404279655/", 1404279655)</f>
        <v>1404279655</v>
      </c>
      <c r="D10474">
        <v>0</v>
      </c>
    </row>
    <row r="10475" spans="1:4" x14ac:dyDescent="0.25">
      <c r="A10475" t="s">
        <v>701</v>
      </c>
      <c r="B10475" t="s">
        <v>224</v>
      </c>
      <c r="C10475" s="2">
        <f>HYPERLINK("https://sao.dolgi.msk.ru/account/1404279612/", 1404279612)</f>
        <v>1404279612</v>
      </c>
      <c r="D10475">
        <v>8164.77</v>
      </c>
    </row>
    <row r="10476" spans="1:4" hidden="1" x14ac:dyDescent="0.25">
      <c r="A10476" t="s">
        <v>701</v>
      </c>
      <c r="B10476" t="s">
        <v>225</v>
      </c>
      <c r="C10476" s="2">
        <f>HYPERLINK("https://sao.dolgi.msk.ru/account/1404281114/", 1404281114)</f>
        <v>1404281114</v>
      </c>
      <c r="D10476">
        <v>0</v>
      </c>
    </row>
    <row r="10477" spans="1:4" hidden="1" x14ac:dyDescent="0.25">
      <c r="A10477" t="s">
        <v>701</v>
      </c>
      <c r="B10477" t="s">
        <v>226</v>
      </c>
      <c r="C10477" s="2">
        <f>HYPERLINK("https://sao.dolgi.msk.ru/account/1404280728/", 1404280728)</f>
        <v>1404280728</v>
      </c>
      <c r="D10477">
        <v>-9006.7999999999993</v>
      </c>
    </row>
    <row r="10478" spans="1:4" hidden="1" x14ac:dyDescent="0.25">
      <c r="A10478" t="s">
        <v>701</v>
      </c>
      <c r="B10478" t="s">
        <v>227</v>
      </c>
      <c r="C10478" s="2">
        <f>HYPERLINK("https://sao.dolgi.msk.ru/account/1404282504/", 1404282504)</f>
        <v>1404282504</v>
      </c>
      <c r="D10478">
        <v>0</v>
      </c>
    </row>
    <row r="10479" spans="1:4" hidden="1" x14ac:dyDescent="0.25">
      <c r="A10479" t="s">
        <v>701</v>
      </c>
      <c r="B10479" t="s">
        <v>228</v>
      </c>
      <c r="C10479" s="2">
        <f>HYPERLINK("https://sao.dolgi.msk.ru/account/1404282491/", 1404282491)</f>
        <v>1404282491</v>
      </c>
      <c r="D10479">
        <v>-3677.32</v>
      </c>
    </row>
    <row r="10480" spans="1:4" hidden="1" x14ac:dyDescent="0.25">
      <c r="A10480" t="s">
        <v>701</v>
      </c>
      <c r="B10480" t="s">
        <v>229</v>
      </c>
      <c r="C10480" s="2">
        <f>HYPERLINK("https://sao.dolgi.msk.ru/account/1404281691/", 1404281691)</f>
        <v>1404281691</v>
      </c>
      <c r="D10480">
        <v>0</v>
      </c>
    </row>
    <row r="10481" spans="1:4" hidden="1" x14ac:dyDescent="0.25">
      <c r="A10481" t="s">
        <v>701</v>
      </c>
      <c r="B10481" t="s">
        <v>230</v>
      </c>
      <c r="C10481" s="2">
        <f>HYPERLINK("https://sao.dolgi.msk.ru/account/1404280218/", 1404280218)</f>
        <v>1404280218</v>
      </c>
      <c r="D10481">
        <v>-10011.459999999999</v>
      </c>
    </row>
    <row r="10482" spans="1:4" x14ac:dyDescent="0.25">
      <c r="A10482" t="s">
        <v>701</v>
      </c>
      <c r="B10482" t="s">
        <v>231</v>
      </c>
      <c r="C10482" s="2">
        <f>HYPERLINK("https://sao.dolgi.msk.ru/account/1404281253/", 1404281253)</f>
        <v>1404281253</v>
      </c>
      <c r="D10482">
        <v>11525</v>
      </c>
    </row>
    <row r="10483" spans="1:4" hidden="1" x14ac:dyDescent="0.25">
      <c r="A10483" t="s">
        <v>701</v>
      </c>
      <c r="B10483" t="s">
        <v>232</v>
      </c>
      <c r="C10483" s="2">
        <f>HYPERLINK("https://sao.dolgi.msk.ru/account/1404281288/", 1404281288)</f>
        <v>1404281288</v>
      </c>
      <c r="D10483">
        <v>-5541.92</v>
      </c>
    </row>
    <row r="10484" spans="1:4" hidden="1" x14ac:dyDescent="0.25">
      <c r="A10484" t="s">
        <v>701</v>
      </c>
      <c r="B10484" t="s">
        <v>233</v>
      </c>
      <c r="C10484" s="2">
        <f>HYPERLINK("https://sao.dolgi.msk.ru/account/1404281683/", 1404281683)</f>
        <v>1404281683</v>
      </c>
      <c r="D10484">
        <v>0</v>
      </c>
    </row>
    <row r="10485" spans="1:4" hidden="1" x14ac:dyDescent="0.25">
      <c r="A10485" t="s">
        <v>701</v>
      </c>
      <c r="B10485" t="s">
        <v>234</v>
      </c>
      <c r="C10485" s="2">
        <f>HYPERLINK("https://sao.dolgi.msk.ru/account/1404280808/", 1404280808)</f>
        <v>1404280808</v>
      </c>
      <c r="D10485">
        <v>-12294.2</v>
      </c>
    </row>
    <row r="10486" spans="1:4" hidden="1" x14ac:dyDescent="0.25">
      <c r="A10486" t="s">
        <v>701</v>
      </c>
      <c r="B10486" t="s">
        <v>235</v>
      </c>
      <c r="C10486" s="2">
        <f>HYPERLINK("https://sao.dolgi.msk.ru/account/1404282459/", 1404282459)</f>
        <v>1404282459</v>
      </c>
      <c r="D10486">
        <v>-3522.35</v>
      </c>
    </row>
    <row r="10487" spans="1:4" hidden="1" x14ac:dyDescent="0.25">
      <c r="A10487" t="s">
        <v>701</v>
      </c>
      <c r="B10487" t="s">
        <v>239</v>
      </c>
      <c r="C10487" s="2">
        <f>HYPERLINK("https://sao.dolgi.msk.ru/account/1404280111/", 1404280111)</f>
        <v>1404280111</v>
      </c>
      <c r="D10487">
        <v>-8831.91</v>
      </c>
    </row>
    <row r="10488" spans="1:4" x14ac:dyDescent="0.25">
      <c r="A10488" t="s">
        <v>701</v>
      </c>
      <c r="B10488" t="s">
        <v>240</v>
      </c>
      <c r="C10488" s="2">
        <f>HYPERLINK("https://sao.dolgi.msk.ru/account/1404281341/", 1404281341)</f>
        <v>1404281341</v>
      </c>
      <c r="D10488">
        <v>28401.9</v>
      </c>
    </row>
    <row r="10489" spans="1:4" hidden="1" x14ac:dyDescent="0.25">
      <c r="A10489" t="s">
        <v>701</v>
      </c>
      <c r="B10489" t="s">
        <v>241</v>
      </c>
      <c r="C10489" s="2">
        <f>HYPERLINK("https://sao.dolgi.msk.ru/account/1404282109/", 1404282109)</f>
        <v>1404282109</v>
      </c>
      <c r="D10489">
        <v>-6835.25</v>
      </c>
    </row>
    <row r="10490" spans="1:4" x14ac:dyDescent="0.25">
      <c r="A10490" t="s">
        <v>701</v>
      </c>
      <c r="B10490" t="s">
        <v>242</v>
      </c>
      <c r="C10490" s="2">
        <f>HYPERLINK("https://sao.dolgi.msk.ru/account/1404280998/", 1404280998)</f>
        <v>1404280998</v>
      </c>
      <c r="D10490">
        <v>8272.67</v>
      </c>
    </row>
    <row r="10491" spans="1:4" hidden="1" x14ac:dyDescent="0.25">
      <c r="A10491" t="s">
        <v>701</v>
      </c>
      <c r="B10491" t="s">
        <v>243</v>
      </c>
      <c r="C10491" s="2">
        <f>HYPERLINK("https://sao.dolgi.msk.ru/account/1404280488/", 1404280488)</f>
        <v>1404280488</v>
      </c>
      <c r="D10491">
        <v>0</v>
      </c>
    </row>
    <row r="10492" spans="1:4" hidden="1" x14ac:dyDescent="0.25">
      <c r="A10492" t="s">
        <v>701</v>
      </c>
      <c r="B10492" t="s">
        <v>244</v>
      </c>
      <c r="C10492" s="2">
        <f>HYPERLINK("https://sao.dolgi.msk.ru/account/1404281659/", 1404281659)</f>
        <v>1404281659</v>
      </c>
      <c r="D10492">
        <v>-9368.41</v>
      </c>
    </row>
    <row r="10493" spans="1:4" hidden="1" x14ac:dyDescent="0.25">
      <c r="A10493" t="s">
        <v>701</v>
      </c>
      <c r="B10493" t="s">
        <v>245</v>
      </c>
      <c r="C10493" s="2">
        <f>HYPERLINK("https://sao.dolgi.msk.ru/account/1404280701/", 1404280701)</f>
        <v>1404280701</v>
      </c>
      <c r="D10493">
        <v>0</v>
      </c>
    </row>
    <row r="10494" spans="1:4" hidden="1" x14ac:dyDescent="0.25">
      <c r="A10494" t="s">
        <v>701</v>
      </c>
      <c r="B10494" t="s">
        <v>246</v>
      </c>
      <c r="C10494" s="2">
        <f>HYPERLINK("https://sao.dolgi.msk.ru/account/1404282088/", 1404282088)</f>
        <v>1404282088</v>
      </c>
      <c r="D10494">
        <v>-5147.03</v>
      </c>
    </row>
    <row r="10495" spans="1:4" hidden="1" x14ac:dyDescent="0.25">
      <c r="A10495" t="s">
        <v>701</v>
      </c>
      <c r="B10495" t="s">
        <v>247</v>
      </c>
      <c r="C10495" s="2">
        <f>HYPERLINK("https://sao.dolgi.msk.ru/account/1404280496/", 1404280496)</f>
        <v>1404280496</v>
      </c>
      <c r="D10495">
        <v>-4865.43</v>
      </c>
    </row>
    <row r="10496" spans="1:4" hidden="1" x14ac:dyDescent="0.25">
      <c r="A10496" t="s">
        <v>701</v>
      </c>
      <c r="B10496" t="s">
        <v>248</v>
      </c>
      <c r="C10496" s="2">
        <f>HYPERLINK("https://sao.dolgi.msk.ru/account/1404282061/", 1404282061)</f>
        <v>1404282061</v>
      </c>
      <c r="D10496">
        <v>-6573.66</v>
      </c>
    </row>
    <row r="10497" spans="1:4" x14ac:dyDescent="0.25">
      <c r="A10497" t="s">
        <v>701</v>
      </c>
      <c r="B10497" t="s">
        <v>249</v>
      </c>
      <c r="C10497" s="2">
        <f>HYPERLINK("https://sao.dolgi.msk.ru/account/1404281034/", 1404281034)</f>
        <v>1404281034</v>
      </c>
      <c r="D10497">
        <v>980.03</v>
      </c>
    </row>
    <row r="10498" spans="1:4" hidden="1" x14ac:dyDescent="0.25">
      <c r="A10498" t="s">
        <v>701</v>
      </c>
      <c r="B10498" t="s">
        <v>250</v>
      </c>
      <c r="C10498" s="2">
        <f>HYPERLINK("https://sao.dolgi.msk.ru/account/1404281173/", 1404281173)</f>
        <v>1404281173</v>
      </c>
      <c r="D10498">
        <v>-5136.07</v>
      </c>
    </row>
    <row r="10499" spans="1:4" x14ac:dyDescent="0.25">
      <c r="A10499" t="s">
        <v>701</v>
      </c>
      <c r="B10499" t="s">
        <v>251</v>
      </c>
      <c r="C10499" s="2">
        <f>HYPERLINK("https://sao.dolgi.msk.ru/account/1404281747/", 1404281747)</f>
        <v>1404281747</v>
      </c>
      <c r="D10499">
        <v>16196.67</v>
      </c>
    </row>
    <row r="10500" spans="1:4" hidden="1" x14ac:dyDescent="0.25">
      <c r="A10500" t="s">
        <v>701</v>
      </c>
      <c r="B10500" t="s">
        <v>252</v>
      </c>
      <c r="C10500" s="2">
        <f>HYPERLINK("https://sao.dolgi.msk.ru/account/1404279604/", 1404279604)</f>
        <v>1404279604</v>
      </c>
      <c r="D10500">
        <v>0</v>
      </c>
    </row>
    <row r="10501" spans="1:4" x14ac:dyDescent="0.25">
      <c r="A10501" t="s">
        <v>701</v>
      </c>
      <c r="B10501" t="s">
        <v>253</v>
      </c>
      <c r="C10501" s="2">
        <f>HYPERLINK("https://sao.dolgi.msk.ru/account/1404280621/", 1404280621)</f>
        <v>1404280621</v>
      </c>
      <c r="D10501">
        <v>3931.15</v>
      </c>
    </row>
    <row r="10502" spans="1:4" hidden="1" x14ac:dyDescent="0.25">
      <c r="A10502" t="s">
        <v>701</v>
      </c>
      <c r="B10502" t="s">
        <v>254</v>
      </c>
      <c r="C10502" s="2">
        <f>HYPERLINK("https://sao.dolgi.msk.ru/account/1404279487/", 1404279487)</f>
        <v>1404279487</v>
      </c>
      <c r="D10502">
        <v>-4387.1899999999996</v>
      </c>
    </row>
    <row r="10503" spans="1:4" hidden="1" x14ac:dyDescent="0.25">
      <c r="A10503" t="s">
        <v>701</v>
      </c>
      <c r="B10503" t="s">
        <v>255</v>
      </c>
      <c r="C10503" s="2">
        <f>HYPERLINK("https://sao.dolgi.msk.ru/account/1404282037/", 1404282037)</f>
        <v>1404282037</v>
      </c>
      <c r="D10503">
        <v>-3243.68</v>
      </c>
    </row>
    <row r="10504" spans="1:4" hidden="1" x14ac:dyDescent="0.25">
      <c r="A10504" t="s">
        <v>701</v>
      </c>
      <c r="B10504" t="s">
        <v>256</v>
      </c>
      <c r="C10504" s="2">
        <f>HYPERLINK("https://sao.dolgi.msk.ru/account/1404279647/", 1404279647)</f>
        <v>1404279647</v>
      </c>
      <c r="D10504">
        <v>-7813.21</v>
      </c>
    </row>
    <row r="10505" spans="1:4" hidden="1" x14ac:dyDescent="0.25">
      <c r="A10505" t="s">
        <v>701</v>
      </c>
      <c r="B10505" t="s">
        <v>257</v>
      </c>
      <c r="C10505" s="2">
        <f>HYPERLINK("https://sao.dolgi.msk.ru/account/1404280816/", 1404280816)</f>
        <v>1404280816</v>
      </c>
      <c r="D10505">
        <v>-5875.58</v>
      </c>
    </row>
    <row r="10506" spans="1:4" hidden="1" x14ac:dyDescent="0.25">
      <c r="A10506" t="s">
        <v>701</v>
      </c>
      <c r="B10506" t="s">
        <v>258</v>
      </c>
      <c r="C10506" s="2">
        <f>HYPERLINK("https://sao.dolgi.msk.ru/account/1404279495/", 1404279495)</f>
        <v>1404279495</v>
      </c>
      <c r="D10506">
        <v>-3134.67</v>
      </c>
    </row>
    <row r="10507" spans="1:4" hidden="1" x14ac:dyDescent="0.25">
      <c r="A10507" t="s">
        <v>701</v>
      </c>
      <c r="B10507" t="s">
        <v>259</v>
      </c>
      <c r="C10507" s="2">
        <f>HYPERLINK("https://sao.dolgi.msk.ru/account/1404281333/", 1404281333)</f>
        <v>1404281333</v>
      </c>
      <c r="D10507">
        <v>0</v>
      </c>
    </row>
    <row r="10508" spans="1:4" hidden="1" x14ac:dyDescent="0.25">
      <c r="A10508" t="s">
        <v>701</v>
      </c>
      <c r="B10508" t="s">
        <v>260</v>
      </c>
      <c r="C10508" s="2">
        <f>HYPERLINK("https://sao.dolgi.msk.ru/account/1404282184/", 1404282184)</f>
        <v>1404282184</v>
      </c>
      <c r="D10508">
        <v>-5450.49</v>
      </c>
    </row>
    <row r="10509" spans="1:4" x14ac:dyDescent="0.25">
      <c r="A10509" t="s">
        <v>701</v>
      </c>
      <c r="B10509" t="s">
        <v>261</v>
      </c>
      <c r="C10509" s="2">
        <f>HYPERLINK("https://sao.dolgi.msk.ru/account/1404281499/", 1404281499)</f>
        <v>1404281499</v>
      </c>
      <c r="D10509">
        <v>170303.94</v>
      </c>
    </row>
    <row r="10510" spans="1:4" x14ac:dyDescent="0.25">
      <c r="A10510" t="s">
        <v>701</v>
      </c>
      <c r="B10510" t="s">
        <v>262</v>
      </c>
      <c r="C10510" s="2">
        <f>HYPERLINK("https://sao.dolgi.msk.ru/account/1404281712/", 1404281712)</f>
        <v>1404281712</v>
      </c>
      <c r="D10510">
        <v>25442.68</v>
      </c>
    </row>
    <row r="10511" spans="1:4" hidden="1" x14ac:dyDescent="0.25">
      <c r="A10511" t="s">
        <v>701</v>
      </c>
      <c r="B10511" t="s">
        <v>263</v>
      </c>
      <c r="C10511" s="2">
        <f>HYPERLINK("https://sao.dolgi.msk.ru/account/1404279911/", 1404279911)</f>
        <v>1404279911</v>
      </c>
      <c r="D10511">
        <v>0</v>
      </c>
    </row>
    <row r="10512" spans="1:4" hidden="1" x14ac:dyDescent="0.25">
      <c r="A10512" t="s">
        <v>701</v>
      </c>
      <c r="B10512" t="s">
        <v>264</v>
      </c>
      <c r="C10512" s="2">
        <f>HYPERLINK("https://sao.dolgi.msk.ru/account/1404279794/", 1404279794)</f>
        <v>1404279794</v>
      </c>
      <c r="D10512">
        <v>-5840.66</v>
      </c>
    </row>
    <row r="10513" spans="1:4" hidden="1" x14ac:dyDescent="0.25">
      <c r="A10513" t="s">
        <v>701</v>
      </c>
      <c r="B10513" t="s">
        <v>265</v>
      </c>
      <c r="C10513" s="2">
        <f>HYPERLINK("https://sao.dolgi.msk.ru/account/1404280453/", 1404280453)</f>
        <v>1404280453</v>
      </c>
      <c r="D10513">
        <v>0</v>
      </c>
    </row>
    <row r="10514" spans="1:4" hidden="1" x14ac:dyDescent="0.25">
      <c r="A10514" t="s">
        <v>701</v>
      </c>
      <c r="B10514" t="s">
        <v>266</v>
      </c>
      <c r="C10514" s="2">
        <f>HYPERLINK("https://sao.dolgi.msk.ru/account/1404281472/", 1404281472)</f>
        <v>1404281472</v>
      </c>
      <c r="D10514">
        <v>-4748.21</v>
      </c>
    </row>
    <row r="10515" spans="1:4" x14ac:dyDescent="0.25">
      <c r="A10515" t="s">
        <v>701</v>
      </c>
      <c r="B10515" t="s">
        <v>267</v>
      </c>
      <c r="C10515" s="2">
        <f>HYPERLINK("https://sao.dolgi.msk.ru/account/1404279903/", 1404279903)</f>
        <v>1404279903</v>
      </c>
      <c r="D10515">
        <v>10416.65</v>
      </c>
    </row>
    <row r="10516" spans="1:4" hidden="1" x14ac:dyDescent="0.25">
      <c r="A10516" t="s">
        <v>701</v>
      </c>
      <c r="B10516" t="s">
        <v>268</v>
      </c>
      <c r="C10516" s="2">
        <f>HYPERLINK("https://sao.dolgi.msk.ru/account/1404281608/", 1404281608)</f>
        <v>1404281608</v>
      </c>
      <c r="D10516">
        <v>-8923.14</v>
      </c>
    </row>
    <row r="10517" spans="1:4" x14ac:dyDescent="0.25">
      <c r="A10517" t="s">
        <v>702</v>
      </c>
      <c r="B10517" t="s">
        <v>5</v>
      </c>
      <c r="C10517" s="2">
        <f>HYPERLINK("https://sao.dolgi.msk.ru/account/1404285019/", 1404285019)</f>
        <v>1404285019</v>
      </c>
      <c r="D10517">
        <v>63752.46</v>
      </c>
    </row>
    <row r="10518" spans="1:4" hidden="1" x14ac:dyDescent="0.25">
      <c r="A10518" t="s">
        <v>702</v>
      </c>
      <c r="B10518" t="s">
        <v>6</v>
      </c>
      <c r="C10518" s="2">
        <f>HYPERLINK("https://sao.dolgi.msk.ru/account/1404285633/", 1404285633)</f>
        <v>1404285633</v>
      </c>
      <c r="D10518">
        <v>-2726.08</v>
      </c>
    </row>
    <row r="10519" spans="1:4" hidden="1" x14ac:dyDescent="0.25">
      <c r="A10519" t="s">
        <v>702</v>
      </c>
      <c r="B10519" t="s">
        <v>7</v>
      </c>
      <c r="C10519" s="2">
        <f>HYPERLINK("https://sao.dolgi.msk.ru/account/1404285617/", 1404285617)</f>
        <v>1404285617</v>
      </c>
      <c r="D10519">
        <v>-5491.7</v>
      </c>
    </row>
    <row r="10520" spans="1:4" hidden="1" x14ac:dyDescent="0.25">
      <c r="A10520" t="s">
        <v>702</v>
      </c>
      <c r="B10520" t="s">
        <v>8</v>
      </c>
      <c r="C10520" s="2">
        <f>HYPERLINK("https://sao.dolgi.msk.ru/account/1404284016/", 1404284016)</f>
        <v>1404284016</v>
      </c>
      <c r="D10520">
        <v>-8523.19</v>
      </c>
    </row>
    <row r="10521" spans="1:4" hidden="1" x14ac:dyDescent="0.25">
      <c r="A10521" t="s">
        <v>702</v>
      </c>
      <c r="B10521" t="s">
        <v>9</v>
      </c>
      <c r="C10521" s="2">
        <f>HYPERLINK("https://sao.dolgi.msk.ru/account/1404285254/", 1404285254)</f>
        <v>1404285254</v>
      </c>
      <c r="D10521">
        <v>-2641.41</v>
      </c>
    </row>
    <row r="10522" spans="1:4" hidden="1" x14ac:dyDescent="0.25">
      <c r="A10522" t="s">
        <v>702</v>
      </c>
      <c r="B10522" t="s">
        <v>10</v>
      </c>
      <c r="C10522" s="2">
        <f>HYPERLINK("https://sao.dolgi.msk.ru/account/1404285027/", 1404285027)</f>
        <v>1404285027</v>
      </c>
      <c r="D10522">
        <v>0</v>
      </c>
    </row>
    <row r="10523" spans="1:4" hidden="1" x14ac:dyDescent="0.25">
      <c r="A10523" t="s">
        <v>702</v>
      </c>
      <c r="B10523" t="s">
        <v>11</v>
      </c>
      <c r="C10523" s="2">
        <f>HYPERLINK("https://sao.dolgi.msk.ru/account/1404285713/", 1404285713)</f>
        <v>1404285713</v>
      </c>
      <c r="D10523">
        <v>-8349.7099999999991</v>
      </c>
    </row>
    <row r="10524" spans="1:4" hidden="1" x14ac:dyDescent="0.25">
      <c r="A10524" t="s">
        <v>702</v>
      </c>
      <c r="B10524" t="s">
        <v>12</v>
      </c>
      <c r="C10524" s="2">
        <f>HYPERLINK("https://sao.dolgi.msk.ru/account/1404283574/", 1404283574)</f>
        <v>1404283574</v>
      </c>
      <c r="D10524">
        <v>-8941.08</v>
      </c>
    </row>
    <row r="10525" spans="1:4" hidden="1" x14ac:dyDescent="0.25">
      <c r="A10525" t="s">
        <v>702</v>
      </c>
      <c r="B10525" t="s">
        <v>13</v>
      </c>
      <c r="C10525" s="2">
        <f>HYPERLINK("https://sao.dolgi.msk.ru/account/1404282758/", 1404282758)</f>
        <v>1404282758</v>
      </c>
      <c r="D10525">
        <v>-3184</v>
      </c>
    </row>
    <row r="10526" spans="1:4" hidden="1" x14ac:dyDescent="0.25">
      <c r="A10526" t="s">
        <v>702</v>
      </c>
      <c r="B10526" t="s">
        <v>14</v>
      </c>
      <c r="C10526" s="2">
        <f>HYPERLINK("https://sao.dolgi.msk.ru/account/1404284008/", 1404284008)</f>
        <v>1404284008</v>
      </c>
      <c r="D10526">
        <v>-6016.22</v>
      </c>
    </row>
    <row r="10527" spans="1:4" hidden="1" x14ac:dyDescent="0.25">
      <c r="A10527" t="s">
        <v>702</v>
      </c>
      <c r="B10527" t="s">
        <v>15</v>
      </c>
      <c r="C10527" s="2">
        <f>HYPERLINK("https://sao.dolgi.msk.ru/account/1404284155/", 1404284155)</f>
        <v>1404284155</v>
      </c>
      <c r="D10527">
        <v>-4220.16</v>
      </c>
    </row>
    <row r="10528" spans="1:4" hidden="1" x14ac:dyDescent="0.25">
      <c r="A10528" t="s">
        <v>702</v>
      </c>
      <c r="B10528" t="s">
        <v>16</v>
      </c>
      <c r="C10528" s="2">
        <f>HYPERLINK("https://sao.dolgi.msk.ru/account/1404284753/", 1404284753)</f>
        <v>1404284753</v>
      </c>
      <c r="D10528">
        <v>-7058.59</v>
      </c>
    </row>
    <row r="10529" spans="1:4" hidden="1" x14ac:dyDescent="0.25">
      <c r="A10529" t="s">
        <v>702</v>
      </c>
      <c r="B10529" t="s">
        <v>17</v>
      </c>
      <c r="C10529" s="2">
        <f>HYPERLINK("https://sao.dolgi.msk.ru/account/1404283339/", 1404283339)</f>
        <v>1404283339</v>
      </c>
      <c r="D10529">
        <v>0</v>
      </c>
    </row>
    <row r="10530" spans="1:4" x14ac:dyDescent="0.25">
      <c r="A10530" t="s">
        <v>702</v>
      </c>
      <c r="B10530" t="s">
        <v>18</v>
      </c>
      <c r="C10530" s="2">
        <f>HYPERLINK("https://sao.dolgi.msk.ru/account/1404285641/", 1404285641)</f>
        <v>1404285641</v>
      </c>
      <c r="D10530">
        <v>16458.009999999998</v>
      </c>
    </row>
    <row r="10531" spans="1:4" hidden="1" x14ac:dyDescent="0.25">
      <c r="A10531" t="s">
        <v>702</v>
      </c>
      <c r="B10531" t="s">
        <v>19</v>
      </c>
      <c r="C10531" s="2">
        <f>HYPERLINK("https://sao.dolgi.msk.ru/account/1404283304/", 1404283304)</f>
        <v>1404283304</v>
      </c>
      <c r="D10531">
        <v>-5304.85</v>
      </c>
    </row>
    <row r="10532" spans="1:4" hidden="1" x14ac:dyDescent="0.25">
      <c r="A10532" t="s">
        <v>702</v>
      </c>
      <c r="B10532" t="s">
        <v>20</v>
      </c>
      <c r="C10532" s="2">
        <f>HYPERLINK("https://sao.dolgi.msk.ru/account/1404282942/", 1404282942)</f>
        <v>1404282942</v>
      </c>
      <c r="D10532">
        <v>-8598.8799999999992</v>
      </c>
    </row>
    <row r="10533" spans="1:4" hidden="1" x14ac:dyDescent="0.25">
      <c r="A10533" t="s">
        <v>702</v>
      </c>
      <c r="B10533" t="s">
        <v>21</v>
      </c>
      <c r="C10533" s="2">
        <f>HYPERLINK("https://sao.dolgi.msk.ru/account/1404283275/", 1404283275)</f>
        <v>1404283275</v>
      </c>
      <c r="D10533">
        <v>0</v>
      </c>
    </row>
    <row r="10534" spans="1:4" hidden="1" x14ac:dyDescent="0.25">
      <c r="A10534" t="s">
        <v>702</v>
      </c>
      <c r="B10534" t="s">
        <v>22</v>
      </c>
      <c r="C10534" s="2">
        <f>HYPERLINK("https://sao.dolgi.msk.ru/account/1404283734/", 1404283734)</f>
        <v>1404283734</v>
      </c>
      <c r="D10534">
        <v>-7047.41</v>
      </c>
    </row>
    <row r="10535" spans="1:4" hidden="1" x14ac:dyDescent="0.25">
      <c r="A10535" t="s">
        <v>702</v>
      </c>
      <c r="B10535" t="s">
        <v>23</v>
      </c>
      <c r="C10535" s="2">
        <f>HYPERLINK("https://sao.dolgi.msk.ru/account/1404284577/", 1404284577)</f>
        <v>1404284577</v>
      </c>
      <c r="D10535">
        <v>-5858.83</v>
      </c>
    </row>
    <row r="10536" spans="1:4" x14ac:dyDescent="0.25">
      <c r="A10536" t="s">
        <v>702</v>
      </c>
      <c r="B10536" t="s">
        <v>24</v>
      </c>
      <c r="C10536" s="2">
        <f>HYPERLINK("https://sao.dolgi.msk.ru/account/1404283144/", 1404283144)</f>
        <v>1404283144</v>
      </c>
      <c r="D10536">
        <v>6368.85</v>
      </c>
    </row>
    <row r="10537" spans="1:4" hidden="1" x14ac:dyDescent="0.25">
      <c r="A10537" t="s">
        <v>702</v>
      </c>
      <c r="B10537" t="s">
        <v>25</v>
      </c>
      <c r="C10537" s="2">
        <f>HYPERLINK("https://sao.dolgi.msk.ru/account/1404285764/", 1404285764)</f>
        <v>1404285764</v>
      </c>
      <c r="D10537">
        <v>-4912.13</v>
      </c>
    </row>
    <row r="10538" spans="1:4" hidden="1" x14ac:dyDescent="0.25">
      <c r="A10538" t="s">
        <v>702</v>
      </c>
      <c r="B10538" t="s">
        <v>26</v>
      </c>
      <c r="C10538" s="2">
        <f>HYPERLINK("https://sao.dolgi.msk.ru/account/1404285043/", 1404285043)</f>
        <v>1404285043</v>
      </c>
      <c r="D10538">
        <v>0</v>
      </c>
    </row>
    <row r="10539" spans="1:4" hidden="1" x14ac:dyDescent="0.25">
      <c r="A10539" t="s">
        <v>702</v>
      </c>
      <c r="B10539" t="s">
        <v>27</v>
      </c>
      <c r="C10539" s="2">
        <f>HYPERLINK("https://sao.dolgi.msk.ru/account/1404282969/", 1404282969)</f>
        <v>1404282969</v>
      </c>
      <c r="D10539">
        <v>0</v>
      </c>
    </row>
    <row r="10540" spans="1:4" hidden="1" x14ac:dyDescent="0.25">
      <c r="A10540" t="s">
        <v>702</v>
      </c>
      <c r="B10540" t="s">
        <v>28</v>
      </c>
      <c r="C10540" s="2">
        <f>HYPERLINK("https://sao.dolgi.msk.ru/account/1404282977/", 1404282977)</f>
        <v>1404282977</v>
      </c>
      <c r="D10540">
        <v>-1714.51</v>
      </c>
    </row>
    <row r="10541" spans="1:4" x14ac:dyDescent="0.25">
      <c r="A10541" t="s">
        <v>702</v>
      </c>
      <c r="B10541" t="s">
        <v>29</v>
      </c>
      <c r="C10541" s="2">
        <f>HYPERLINK("https://sao.dolgi.msk.ru/account/1404282838/", 1404282838)</f>
        <v>1404282838</v>
      </c>
      <c r="D10541">
        <v>4196.4799999999996</v>
      </c>
    </row>
    <row r="10542" spans="1:4" hidden="1" x14ac:dyDescent="0.25">
      <c r="A10542" t="s">
        <v>702</v>
      </c>
      <c r="B10542" t="s">
        <v>30</v>
      </c>
      <c r="C10542" s="2">
        <f>HYPERLINK("https://sao.dolgi.msk.ru/account/1404283347/", 1404283347)</f>
        <v>1404283347</v>
      </c>
      <c r="D10542">
        <v>-7130</v>
      </c>
    </row>
    <row r="10543" spans="1:4" hidden="1" x14ac:dyDescent="0.25">
      <c r="A10543" t="s">
        <v>702</v>
      </c>
      <c r="B10543" t="s">
        <v>31</v>
      </c>
      <c r="C10543" s="2">
        <f>HYPERLINK("https://sao.dolgi.msk.ru/account/1404284104/", 1404284104)</f>
        <v>1404284104</v>
      </c>
      <c r="D10543">
        <v>-6955.72</v>
      </c>
    </row>
    <row r="10544" spans="1:4" hidden="1" x14ac:dyDescent="0.25">
      <c r="A10544" t="s">
        <v>702</v>
      </c>
      <c r="B10544" t="s">
        <v>32</v>
      </c>
      <c r="C10544" s="2">
        <f>HYPERLINK("https://sao.dolgi.msk.ru/account/1404285967/", 1404285967)</f>
        <v>1404285967</v>
      </c>
      <c r="D10544">
        <v>-10824.95</v>
      </c>
    </row>
    <row r="10545" spans="1:4" hidden="1" x14ac:dyDescent="0.25">
      <c r="A10545" t="s">
        <v>702</v>
      </c>
      <c r="B10545" t="s">
        <v>33</v>
      </c>
      <c r="C10545" s="2">
        <f>HYPERLINK("https://sao.dolgi.msk.ru/account/1404285959/", 1404285959)</f>
        <v>1404285959</v>
      </c>
      <c r="D10545">
        <v>-6204.39</v>
      </c>
    </row>
    <row r="10546" spans="1:4" hidden="1" x14ac:dyDescent="0.25">
      <c r="A10546" t="s">
        <v>702</v>
      </c>
      <c r="B10546" t="s">
        <v>34</v>
      </c>
      <c r="C10546" s="2">
        <f>HYPERLINK("https://sao.dolgi.msk.ru/account/1404285561/", 1404285561)</f>
        <v>1404285561</v>
      </c>
      <c r="D10546">
        <v>0</v>
      </c>
    </row>
    <row r="10547" spans="1:4" hidden="1" x14ac:dyDescent="0.25">
      <c r="A10547" t="s">
        <v>702</v>
      </c>
      <c r="B10547" t="s">
        <v>35</v>
      </c>
      <c r="C10547" s="2">
        <f>HYPERLINK("https://sao.dolgi.msk.ru/account/1404285553/", 1404285553)</f>
        <v>1404285553</v>
      </c>
      <c r="D10547">
        <v>-8852.5300000000007</v>
      </c>
    </row>
    <row r="10548" spans="1:4" hidden="1" x14ac:dyDescent="0.25">
      <c r="A10548" t="s">
        <v>702</v>
      </c>
      <c r="B10548" t="s">
        <v>36</v>
      </c>
      <c r="C10548" s="2">
        <f>HYPERLINK("https://sao.dolgi.msk.ru/account/1404284235/", 1404284235)</f>
        <v>1404284235</v>
      </c>
      <c r="D10548">
        <v>0</v>
      </c>
    </row>
    <row r="10549" spans="1:4" hidden="1" x14ac:dyDescent="0.25">
      <c r="A10549" t="s">
        <v>702</v>
      </c>
      <c r="B10549" t="s">
        <v>37</v>
      </c>
      <c r="C10549" s="2">
        <f>HYPERLINK("https://sao.dolgi.msk.ru/account/1404284243/", 1404284243)</f>
        <v>1404284243</v>
      </c>
      <c r="D10549">
        <v>-6680.28</v>
      </c>
    </row>
    <row r="10550" spans="1:4" x14ac:dyDescent="0.25">
      <c r="A10550" t="s">
        <v>702</v>
      </c>
      <c r="B10550" t="s">
        <v>38</v>
      </c>
      <c r="C10550" s="2">
        <f>HYPERLINK("https://sao.dolgi.msk.ru/account/1404285457/", 1404285457)</f>
        <v>1404285457</v>
      </c>
      <c r="D10550">
        <v>8066.33</v>
      </c>
    </row>
    <row r="10551" spans="1:4" x14ac:dyDescent="0.25">
      <c r="A10551" t="s">
        <v>702</v>
      </c>
      <c r="B10551" t="s">
        <v>39</v>
      </c>
      <c r="C10551" s="2">
        <f>HYPERLINK("https://sao.dolgi.msk.ru/account/1404283769/", 1404283769)</f>
        <v>1404283769</v>
      </c>
      <c r="D10551">
        <v>10761.05</v>
      </c>
    </row>
    <row r="10552" spans="1:4" hidden="1" x14ac:dyDescent="0.25">
      <c r="A10552" t="s">
        <v>702</v>
      </c>
      <c r="B10552" t="s">
        <v>40</v>
      </c>
      <c r="C10552" s="2">
        <f>HYPERLINK("https://sao.dolgi.msk.ru/account/1404283056/", 1404283056)</f>
        <v>1404283056</v>
      </c>
      <c r="D10552">
        <v>-9682.91</v>
      </c>
    </row>
    <row r="10553" spans="1:4" hidden="1" x14ac:dyDescent="0.25">
      <c r="A10553" t="s">
        <v>702</v>
      </c>
      <c r="B10553" t="s">
        <v>41</v>
      </c>
      <c r="C10553" s="2">
        <f>HYPERLINK("https://sao.dolgi.msk.ru/account/1404285051/", 1404285051)</f>
        <v>1404285051</v>
      </c>
      <c r="D10553">
        <v>0</v>
      </c>
    </row>
    <row r="10554" spans="1:4" hidden="1" x14ac:dyDescent="0.25">
      <c r="A10554" t="s">
        <v>702</v>
      </c>
      <c r="B10554" t="s">
        <v>42</v>
      </c>
      <c r="C10554" s="2">
        <f>HYPERLINK("https://sao.dolgi.msk.ru/account/1404285238/", 1404285238)</f>
        <v>1404285238</v>
      </c>
      <c r="D10554">
        <v>0</v>
      </c>
    </row>
    <row r="10555" spans="1:4" hidden="1" x14ac:dyDescent="0.25">
      <c r="A10555" t="s">
        <v>702</v>
      </c>
      <c r="B10555" t="s">
        <v>43</v>
      </c>
      <c r="C10555" s="2">
        <f>HYPERLINK("https://sao.dolgi.msk.ru/account/1404284251/", 1404284251)</f>
        <v>1404284251</v>
      </c>
      <c r="D10555">
        <v>-10130.280000000001</v>
      </c>
    </row>
    <row r="10556" spans="1:4" hidden="1" x14ac:dyDescent="0.25">
      <c r="A10556" t="s">
        <v>702</v>
      </c>
      <c r="B10556" t="s">
        <v>44</v>
      </c>
      <c r="C10556" s="2">
        <f>HYPERLINK("https://sao.dolgi.msk.ru/account/1404285932/", 1404285932)</f>
        <v>1404285932</v>
      </c>
      <c r="D10556">
        <v>-7029.54</v>
      </c>
    </row>
    <row r="10557" spans="1:4" hidden="1" x14ac:dyDescent="0.25">
      <c r="A10557" t="s">
        <v>702</v>
      </c>
      <c r="B10557" t="s">
        <v>45</v>
      </c>
      <c r="C10557" s="2">
        <f>HYPERLINK("https://sao.dolgi.msk.ru/account/1404284673/", 1404284673)</f>
        <v>1404284673</v>
      </c>
      <c r="D10557">
        <v>0</v>
      </c>
    </row>
    <row r="10558" spans="1:4" hidden="1" x14ac:dyDescent="0.25">
      <c r="A10558" t="s">
        <v>702</v>
      </c>
      <c r="B10558" t="s">
        <v>46</v>
      </c>
      <c r="C10558" s="2">
        <f>HYPERLINK("https://sao.dolgi.msk.ru/account/1404283806/", 1404283806)</f>
        <v>1404283806</v>
      </c>
      <c r="D10558">
        <v>0</v>
      </c>
    </row>
    <row r="10559" spans="1:4" x14ac:dyDescent="0.25">
      <c r="A10559" t="s">
        <v>702</v>
      </c>
      <c r="B10559" t="s">
        <v>47</v>
      </c>
      <c r="C10559" s="2">
        <f>HYPERLINK("https://sao.dolgi.msk.ru/account/1404284681/", 1404284681)</f>
        <v>1404284681</v>
      </c>
      <c r="D10559">
        <v>3659.5</v>
      </c>
    </row>
    <row r="10560" spans="1:4" hidden="1" x14ac:dyDescent="0.25">
      <c r="A10560" t="s">
        <v>702</v>
      </c>
      <c r="B10560" t="s">
        <v>48</v>
      </c>
      <c r="C10560" s="2">
        <f>HYPERLINK("https://sao.dolgi.msk.ru/account/1404284622/", 1404284622)</f>
        <v>1404284622</v>
      </c>
      <c r="D10560">
        <v>-8754.5499999999993</v>
      </c>
    </row>
    <row r="10561" spans="1:4" hidden="1" x14ac:dyDescent="0.25">
      <c r="A10561" t="s">
        <v>702</v>
      </c>
      <c r="B10561" t="s">
        <v>49</v>
      </c>
      <c r="C10561" s="2">
        <f>HYPERLINK("https://sao.dolgi.msk.ru/account/1404283064/", 1404283064)</f>
        <v>1404283064</v>
      </c>
      <c r="D10561">
        <v>-4489.37</v>
      </c>
    </row>
    <row r="10562" spans="1:4" hidden="1" x14ac:dyDescent="0.25">
      <c r="A10562" t="s">
        <v>702</v>
      </c>
      <c r="B10562" t="s">
        <v>50</v>
      </c>
      <c r="C10562" s="2">
        <f>HYPERLINK("https://sao.dolgi.msk.ru/account/1404282766/", 1404282766)</f>
        <v>1404282766</v>
      </c>
      <c r="D10562">
        <v>-3769.9</v>
      </c>
    </row>
    <row r="10563" spans="1:4" hidden="1" x14ac:dyDescent="0.25">
      <c r="A10563" t="s">
        <v>702</v>
      </c>
      <c r="B10563" t="s">
        <v>51</v>
      </c>
      <c r="C10563" s="2">
        <f>HYPERLINK("https://sao.dolgi.msk.ru/account/1404285289/", 1404285289)</f>
        <v>1404285289</v>
      </c>
      <c r="D10563">
        <v>-10055.44</v>
      </c>
    </row>
    <row r="10564" spans="1:4" hidden="1" x14ac:dyDescent="0.25">
      <c r="A10564" t="s">
        <v>702</v>
      </c>
      <c r="B10564" t="s">
        <v>52</v>
      </c>
      <c r="C10564" s="2">
        <f>HYPERLINK("https://sao.dolgi.msk.ru/account/1404283216/", 1404283216)</f>
        <v>1404283216</v>
      </c>
      <c r="D10564">
        <v>-6526.89</v>
      </c>
    </row>
    <row r="10565" spans="1:4" hidden="1" x14ac:dyDescent="0.25">
      <c r="A10565" t="s">
        <v>702</v>
      </c>
      <c r="B10565" t="s">
        <v>53</v>
      </c>
      <c r="C10565" s="2">
        <f>HYPERLINK("https://sao.dolgi.msk.ru/account/1404284067/", 1404284067)</f>
        <v>1404284067</v>
      </c>
      <c r="D10565">
        <v>-5082.3</v>
      </c>
    </row>
    <row r="10566" spans="1:4" hidden="1" x14ac:dyDescent="0.25">
      <c r="A10566" t="s">
        <v>702</v>
      </c>
      <c r="B10566" t="s">
        <v>54</v>
      </c>
      <c r="C10566" s="2">
        <f>HYPERLINK("https://sao.dolgi.msk.ru/account/1404284833/", 1404284833)</f>
        <v>1404284833</v>
      </c>
      <c r="D10566">
        <v>0</v>
      </c>
    </row>
    <row r="10567" spans="1:4" x14ac:dyDescent="0.25">
      <c r="A10567" t="s">
        <v>702</v>
      </c>
      <c r="B10567" t="s">
        <v>55</v>
      </c>
      <c r="C10567" s="2">
        <f>HYPERLINK("https://sao.dolgi.msk.ru/account/1404284788/", 1404284788)</f>
        <v>1404284788</v>
      </c>
      <c r="D10567">
        <v>11759.79</v>
      </c>
    </row>
    <row r="10568" spans="1:4" hidden="1" x14ac:dyDescent="0.25">
      <c r="A10568" t="s">
        <v>702</v>
      </c>
      <c r="B10568" t="s">
        <v>56</v>
      </c>
      <c r="C10568" s="2">
        <f>HYPERLINK("https://sao.dolgi.msk.ru/account/1404284665/", 1404284665)</f>
        <v>1404284665</v>
      </c>
      <c r="D10568">
        <v>0</v>
      </c>
    </row>
    <row r="10569" spans="1:4" hidden="1" x14ac:dyDescent="0.25">
      <c r="A10569" t="s">
        <v>702</v>
      </c>
      <c r="B10569" t="s">
        <v>57</v>
      </c>
      <c r="C10569" s="2">
        <f>HYPERLINK("https://sao.dolgi.msk.ru/account/1404285297/", 1404285297)</f>
        <v>1404285297</v>
      </c>
      <c r="D10569">
        <v>0</v>
      </c>
    </row>
    <row r="10570" spans="1:4" hidden="1" x14ac:dyDescent="0.25">
      <c r="A10570" t="s">
        <v>702</v>
      </c>
      <c r="B10570" t="s">
        <v>58</v>
      </c>
      <c r="C10570" s="2">
        <f>HYPERLINK("https://sao.dolgi.msk.ru/account/1404285318/", 1404285318)</f>
        <v>1404285318</v>
      </c>
      <c r="D10570">
        <v>-4288.5200000000004</v>
      </c>
    </row>
    <row r="10571" spans="1:4" hidden="1" x14ac:dyDescent="0.25">
      <c r="A10571" t="s">
        <v>702</v>
      </c>
      <c r="B10571" t="s">
        <v>59</v>
      </c>
      <c r="C10571" s="2">
        <f>HYPERLINK("https://sao.dolgi.msk.ru/account/1404283582/", 1404283582)</f>
        <v>1404283582</v>
      </c>
      <c r="D10571">
        <v>-8834.9599999999991</v>
      </c>
    </row>
    <row r="10572" spans="1:4" x14ac:dyDescent="0.25">
      <c r="A10572" t="s">
        <v>702</v>
      </c>
      <c r="B10572" t="s">
        <v>60</v>
      </c>
      <c r="C10572" s="2">
        <f>HYPERLINK("https://sao.dolgi.msk.ru/account/1404282694/", 1404282694)</f>
        <v>1404282694</v>
      </c>
      <c r="D10572">
        <v>19102.91</v>
      </c>
    </row>
    <row r="10573" spans="1:4" hidden="1" x14ac:dyDescent="0.25">
      <c r="A10573" t="s">
        <v>702</v>
      </c>
      <c r="B10573" t="s">
        <v>61</v>
      </c>
      <c r="C10573" s="2">
        <f>HYPERLINK("https://sao.dolgi.msk.ru/account/1404285326/", 1404285326)</f>
        <v>1404285326</v>
      </c>
      <c r="D10573">
        <v>-13141.55</v>
      </c>
    </row>
    <row r="10574" spans="1:4" hidden="1" x14ac:dyDescent="0.25">
      <c r="A10574" t="s">
        <v>702</v>
      </c>
      <c r="B10574" t="s">
        <v>62</v>
      </c>
      <c r="C10574" s="2">
        <f>HYPERLINK("https://sao.dolgi.msk.ru/account/1404282774/", 1404282774)</f>
        <v>1404282774</v>
      </c>
      <c r="D10574">
        <v>-3780.49</v>
      </c>
    </row>
    <row r="10575" spans="1:4" x14ac:dyDescent="0.25">
      <c r="A10575" t="s">
        <v>702</v>
      </c>
      <c r="B10575" t="s">
        <v>63</v>
      </c>
      <c r="C10575" s="2">
        <f>HYPERLINK("https://sao.dolgi.msk.ru/account/1404284403/", 1404284403)</f>
        <v>1404284403</v>
      </c>
      <c r="D10575">
        <v>7428</v>
      </c>
    </row>
    <row r="10576" spans="1:4" hidden="1" x14ac:dyDescent="0.25">
      <c r="A10576" t="s">
        <v>702</v>
      </c>
      <c r="B10576" t="s">
        <v>64</v>
      </c>
      <c r="C10576" s="2">
        <f>HYPERLINK("https://sao.dolgi.msk.ru/account/1404285449/", 1404285449)</f>
        <v>1404285449</v>
      </c>
      <c r="D10576">
        <v>-7624.51</v>
      </c>
    </row>
    <row r="10577" spans="1:4" hidden="1" x14ac:dyDescent="0.25">
      <c r="A10577" t="s">
        <v>702</v>
      </c>
      <c r="B10577" t="s">
        <v>65</v>
      </c>
      <c r="C10577" s="2">
        <f>HYPERLINK("https://sao.dolgi.msk.ru/account/1404285334/", 1404285334)</f>
        <v>1404285334</v>
      </c>
      <c r="D10577">
        <v>-4880.3999999999996</v>
      </c>
    </row>
    <row r="10578" spans="1:4" hidden="1" x14ac:dyDescent="0.25">
      <c r="A10578" t="s">
        <v>702</v>
      </c>
      <c r="B10578" t="s">
        <v>66</v>
      </c>
      <c r="C10578" s="2">
        <f>HYPERLINK("https://sao.dolgi.msk.ru/account/1404284841/", 1404284841)</f>
        <v>1404284841</v>
      </c>
      <c r="D10578">
        <v>-5205.21</v>
      </c>
    </row>
    <row r="10579" spans="1:4" hidden="1" x14ac:dyDescent="0.25">
      <c r="A10579" t="s">
        <v>702</v>
      </c>
      <c r="B10579" t="s">
        <v>67</v>
      </c>
      <c r="C10579" s="2">
        <f>HYPERLINK("https://sao.dolgi.msk.ru/account/1404283021/", 1404283021)</f>
        <v>1404283021</v>
      </c>
      <c r="D10579">
        <v>-8250.91</v>
      </c>
    </row>
    <row r="10580" spans="1:4" hidden="1" x14ac:dyDescent="0.25">
      <c r="A10580" t="s">
        <v>702</v>
      </c>
      <c r="B10580" t="s">
        <v>68</v>
      </c>
      <c r="C10580" s="2">
        <f>HYPERLINK("https://sao.dolgi.msk.ru/account/1404284024/", 1404284024)</f>
        <v>1404284024</v>
      </c>
      <c r="D10580">
        <v>-5214.5200000000004</v>
      </c>
    </row>
    <row r="10581" spans="1:4" x14ac:dyDescent="0.25">
      <c r="A10581" t="s">
        <v>702</v>
      </c>
      <c r="B10581" t="s">
        <v>69</v>
      </c>
      <c r="C10581" s="2">
        <f>HYPERLINK("https://sao.dolgi.msk.ru/account/1404282985/", 1404282985)</f>
        <v>1404282985</v>
      </c>
      <c r="D10581">
        <v>19079.150000000001</v>
      </c>
    </row>
    <row r="10582" spans="1:4" hidden="1" x14ac:dyDescent="0.25">
      <c r="A10582" t="s">
        <v>702</v>
      </c>
      <c r="B10582" t="s">
        <v>70</v>
      </c>
      <c r="C10582" s="2">
        <f>HYPERLINK("https://sao.dolgi.msk.ru/account/1404283785/", 1404283785)</f>
        <v>1404283785</v>
      </c>
      <c r="D10582">
        <v>-6461.59</v>
      </c>
    </row>
    <row r="10583" spans="1:4" x14ac:dyDescent="0.25">
      <c r="A10583" t="s">
        <v>702</v>
      </c>
      <c r="B10583" t="s">
        <v>71</v>
      </c>
      <c r="C10583" s="2">
        <f>HYPERLINK("https://sao.dolgi.msk.ru/account/1404285342/", 1404285342)</f>
        <v>1404285342</v>
      </c>
      <c r="D10583">
        <v>23606.44</v>
      </c>
    </row>
    <row r="10584" spans="1:4" hidden="1" x14ac:dyDescent="0.25">
      <c r="A10584" t="s">
        <v>702</v>
      </c>
      <c r="B10584" t="s">
        <v>72</v>
      </c>
      <c r="C10584" s="2">
        <f>HYPERLINK("https://sao.dolgi.msk.ru/account/1404284569/", 1404284569)</f>
        <v>1404284569</v>
      </c>
      <c r="D10584">
        <v>-9541.58</v>
      </c>
    </row>
    <row r="10585" spans="1:4" x14ac:dyDescent="0.25">
      <c r="A10585" t="s">
        <v>702</v>
      </c>
      <c r="B10585" t="s">
        <v>73</v>
      </c>
      <c r="C10585" s="2">
        <f>HYPERLINK("https://sao.dolgi.msk.ru/account/1404284227/", 1404284227)</f>
        <v>1404284227</v>
      </c>
      <c r="D10585">
        <v>95506.81</v>
      </c>
    </row>
    <row r="10586" spans="1:4" hidden="1" x14ac:dyDescent="0.25">
      <c r="A10586" t="s">
        <v>702</v>
      </c>
      <c r="B10586" t="s">
        <v>74</v>
      </c>
      <c r="C10586" s="2">
        <f>HYPERLINK("https://sao.dolgi.msk.ru/account/1404282811/", 1404282811)</f>
        <v>1404282811</v>
      </c>
      <c r="D10586">
        <v>-6229.37</v>
      </c>
    </row>
    <row r="10587" spans="1:4" hidden="1" x14ac:dyDescent="0.25">
      <c r="A10587" t="s">
        <v>702</v>
      </c>
      <c r="B10587" t="s">
        <v>75</v>
      </c>
      <c r="C10587" s="2">
        <f>HYPERLINK("https://sao.dolgi.msk.ru/account/1404284032/", 1404284032)</f>
        <v>1404284032</v>
      </c>
      <c r="D10587">
        <v>-10957.94</v>
      </c>
    </row>
    <row r="10588" spans="1:4" hidden="1" x14ac:dyDescent="0.25">
      <c r="A10588" t="s">
        <v>702</v>
      </c>
      <c r="B10588" t="s">
        <v>76</v>
      </c>
      <c r="C10588" s="2">
        <f>HYPERLINK("https://sao.dolgi.msk.ru/account/1404284286/", 1404284286)</f>
        <v>1404284286</v>
      </c>
      <c r="D10588">
        <v>-4661.41</v>
      </c>
    </row>
    <row r="10589" spans="1:4" x14ac:dyDescent="0.25">
      <c r="A10589" t="s">
        <v>702</v>
      </c>
      <c r="B10589" t="s">
        <v>77</v>
      </c>
      <c r="C10589" s="2">
        <f>HYPERLINK("https://sao.dolgi.msk.ru/account/1404285801/", 1404285801)</f>
        <v>1404285801</v>
      </c>
      <c r="D10589">
        <v>7034.69</v>
      </c>
    </row>
    <row r="10590" spans="1:4" hidden="1" x14ac:dyDescent="0.25">
      <c r="A10590" t="s">
        <v>702</v>
      </c>
      <c r="B10590" t="s">
        <v>78</v>
      </c>
      <c r="C10590" s="2">
        <f>HYPERLINK("https://sao.dolgi.msk.ru/account/1404282918/", 1404282918)</f>
        <v>1404282918</v>
      </c>
      <c r="D10590">
        <v>-4771.17</v>
      </c>
    </row>
    <row r="10591" spans="1:4" hidden="1" x14ac:dyDescent="0.25">
      <c r="A10591" t="s">
        <v>702</v>
      </c>
      <c r="B10591" t="s">
        <v>79</v>
      </c>
      <c r="C10591" s="2">
        <f>HYPERLINK("https://sao.dolgi.msk.ru/account/1404284139/", 1404284139)</f>
        <v>1404284139</v>
      </c>
      <c r="D10591">
        <v>0</v>
      </c>
    </row>
    <row r="10592" spans="1:4" hidden="1" x14ac:dyDescent="0.25">
      <c r="A10592" t="s">
        <v>702</v>
      </c>
      <c r="B10592" t="s">
        <v>79</v>
      </c>
      <c r="C10592" s="2">
        <f>HYPERLINK("https://sao.dolgi.msk.ru/account/1404285844/", 1404285844)</f>
        <v>1404285844</v>
      </c>
      <c r="D10592">
        <v>0</v>
      </c>
    </row>
    <row r="10593" spans="1:4" hidden="1" x14ac:dyDescent="0.25">
      <c r="A10593" t="s">
        <v>702</v>
      </c>
      <c r="B10593" t="s">
        <v>80</v>
      </c>
      <c r="C10593" s="2">
        <f>HYPERLINK("https://sao.dolgi.msk.ru/account/1404285908/", 1404285908)</f>
        <v>1404285908</v>
      </c>
      <c r="D10593">
        <v>-6511.56</v>
      </c>
    </row>
    <row r="10594" spans="1:4" hidden="1" x14ac:dyDescent="0.25">
      <c r="A10594" t="s">
        <v>702</v>
      </c>
      <c r="B10594" t="s">
        <v>81</v>
      </c>
      <c r="C10594" s="2">
        <f>HYPERLINK("https://sao.dolgi.msk.ru/account/1404282926/", 1404282926)</f>
        <v>1404282926</v>
      </c>
      <c r="D10594">
        <v>-4364.5600000000004</v>
      </c>
    </row>
    <row r="10595" spans="1:4" x14ac:dyDescent="0.25">
      <c r="A10595" t="s">
        <v>702</v>
      </c>
      <c r="B10595" t="s">
        <v>82</v>
      </c>
      <c r="C10595" s="2">
        <f>HYPERLINK("https://sao.dolgi.msk.ru/account/1404285828/", 1404285828)</f>
        <v>1404285828</v>
      </c>
      <c r="D10595">
        <v>23454.959999999999</v>
      </c>
    </row>
    <row r="10596" spans="1:4" hidden="1" x14ac:dyDescent="0.25">
      <c r="A10596" t="s">
        <v>702</v>
      </c>
      <c r="B10596" t="s">
        <v>83</v>
      </c>
      <c r="C10596" s="2">
        <f>HYPERLINK("https://sao.dolgi.msk.ru/account/1404285836/", 1404285836)</f>
        <v>1404285836</v>
      </c>
      <c r="D10596">
        <v>0</v>
      </c>
    </row>
    <row r="10597" spans="1:4" hidden="1" x14ac:dyDescent="0.25">
      <c r="A10597" t="s">
        <v>702</v>
      </c>
      <c r="B10597" t="s">
        <v>84</v>
      </c>
      <c r="C10597" s="2">
        <f>HYPERLINK("https://sao.dolgi.msk.ru/account/1404283697/", 1404283697)</f>
        <v>1404283697</v>
      </c>
      <c r="D10597">
        <v>0</v>
      </c>
    </row>
    <row r="10598" spans="1:4" x14ac:dyDescent="0.25">
      <c r="A10598" t="s">
        <v>702</v>
      </c>
      <c r="B10598" t="s">
        <v>85</v>
      </c>
      <c r="C10598" s="2">
        <f>HYPERLINK("https://sao.dolgi.msk.ru/account/1404283312/", 1404283312)</f>
        <v>1404283312</v>
      </c>
      <c r="D10598">
        <v>838.33</v>
      </c>
    </row>
    <row r="10599" spans="1:4" hidden="1" x14ac:dyDescent="0.25">
      <c r="A10599" t="s">
        <v>702</v>
      </c>
      <c r="B10599" t="s">
        <v>86</v>
      </c>
      <c r="C10599" s="2">
        <f>HYPERLINK("https://sao.dolgi.msk.ru/account/1404283718/", 1404283718)</f>
        <v>1404283718</v>
      </c>
      <c r="D10599">
        <v>-5086.46</v>
      </c>
    </row>
    <row r="10600" spans="1:4" hidden="1" x14ac:dyDescent="0.25">
      <c r="A10600" t="s">
        <v>702</v>
      </c>
      <c r="B10600" t="s">
        <v>87</v>
      </c>
      <c r="C10600" s="2">
        <f>HYPERLINK("https://sao.dolgi.msk.ru/account/1404283726/", 1404283726)</f>
        <v>1404283726</v>
      </c>
      <c r="D10600">
        <v>-10252.26</v>
      </c>
    </row>
    <row r="10601" spans="1:4" x14ac:dyDescent="0.25">
      <c r="A10601" t="s">
        <v>702</v>
      </c>
      <c r="B10601" t="s">
        <v>88</v>
      </c>
      <c r="C10601" s="2">
        <f>HYPERLINK("https://sao.dolgi.msk.ru/account/1404284112/", 1404284112)</f>
        <v>1404284112</v>
      </c>
      <c r="D10601">
        <v>9252.56</v>
      </c>
    </row>
    <row r="10602" spans="1:4" hidden="1" x14ac:dyDescent="0.25">
      <c r="A10602" t="s">
        <v>702</v>
      </c>
      <c r="B10602" t="s">
        <v>89</v>
      </c>
      <c r="C10602" s="2">
        <f>HYPERLINK("https://sao.dolgi.msk.ru/account/1404284147/", 1404284147)</f>
        <v>1404284147</v>
      </c>
      <c r="D10602">
        <v>-7445.45</v>
      </c>
    </row>
    <row r="10603" spans="1:4" x14ac:dyDescent="0.25">
      <c r="A10603" t="s">
        <v>702</v>
      </c>
      <c r="B10603" t="s">
        <v>90</v>
      </c>
      <c r="C10603" s="2">
        <f>HYPERLINK("https://sao.dolgi.msk.ru/account/1404285465/", 1404285465)</f>
        <v>1404285465</v>
      </c>
      <c r="D10603">
        <v>30557.78</v>
      </c>
    </row>
    <row r="10604" spans="1:4" hidden="1" x14ac:dyDescent="0.25">
      <c r="A10604" t="s">
        <v>702</v>
      </c>
      <c r="B10604" t="s">
        <v>91</v>
      </c>
      <c r="C10604" s="2">
        <f>HYPERLINK("https://sao.dolgi.msk.ru/account/1404285158/", 1404285158)</f>
        <v>1404285158</v>
      </c>
      <c r="D10604">
        <v>-8577.5400000000009</v>
      </c>
    </row>
    <row r="10605" spans="1:4" hidden="1" x14ac:dyDescent="0.25">
      <c r="A10605" t="s">
        <v>702</v>
      </c>
      <c r="B10605" t="s">
        <v>92</v>
      </c>
      <c r="C10605" s="2">
        <f>HYPERLINK("https://sao.dolgi.msk.ru/account/1404285924/", 1404285924)</f>
        <v>1404285924</v>
      </c>
      <c r="D10605">
        <v>0</v>
      </c>
    </row>
    <row r="10606" spans="1:4" hidden="1" x14ac:dyDescent="0.25">
      <c r="A10606" t="s">
        <v>702</v>
      </c>
      <c r="B10606" t="s">
        <v>93</v>
      </c>
      <c r="C10606" s="2">
        <f>HYPERLINK("https://sao.dolgi.msk.ru/account/1404282934/", 1404282934)</f>
        <v>1404282934</v>
      </c>
      <c r="D10606">
        <v>-3963.43</v>
      </c>
    </row>
    <row r="10607" spans="1:4" hidden="1" x14ac:dyDescent="0.25">
      <c r="A10607" t="s">
        <v>702</v>
      </c>
      <c r="B10607" t="s">
        <v>94</v>
      </c>
      <c r="C10607" s="2">
        <f>HYPERLINK("https://sao.dolgi.msk.ru/account/1404285895/", 1404285895)</f>
        <v>1404285895</v>
      </c>
      <c r="D10607">
        <v>-8201.25</v>
      </c>
    </row>
    <row r="10608" spans="1:4" hidden="1" x14ac:dyDescent="0.25">
      <c r="A10608" t="s">
        <v>702</v>
      </c>
      <c r="B10608" t="s">
        <v>95</v>
      </c>
      <c r="C10608" s="2">
        <f>HYPERLINK("https://sao.dolgi.msk.ru/account/1404283996/", 1404283996)</f>
        <v>1404283996</v>
      </c>
      <c r="D10608">
        <v>0</v>
      </c>
    </row>
    <row r="10609" spans="1:4" hidden="1" x14ac:dyDescent="0.25">
      <c r="A10609" t="s">
        <v>702</v>
      </c>
      <c r="B10609" t="s">
        <v>96</v>
      </c>
      <c r="C10609" s="2">
        <f>HYPERLINK("https://sao.dolgi.msk.ru/account/1404284411/", 1404284411)</f>
        <v>1404284411</v>
      </c>
      <c r="D10609">
        <v>-5728.49</v>
      </c>
    </row>
    <row r="10610" spans="1:4" hidden="1" x14ac:dyDescent="0.25">
      <c r="A10610" t="s">
        <v>702</v>
      </c>
      <c r="B10610" t="s">
        <v>97</v>
      </c>
      <c r="C10610" s="2">
        <f>HYPERLINK("https://sao.dolgi.msk.ru/account/1404284171/", 1404284171)</f>
        <v>1404284171</v>
      </c>
      <c r="D10610">
        <v>-5673.22</v>
      </c>
    </row>
    <row r="10611" spans="1:4" hidden="1" x14ac:dyDescent="0.25">
      <c r="A10611" t="s">
        <v>702</v>
      </c>
      <c r="B10611" t="s">
        <v>98</v>
      </c>
      <c r="C10611" s="2">
        <f>HYPERLINK("https://sao.dolgi.msk.ru/account/1404285481/", 1404285481)</f>
        <v>1404285481</v>
      </c>
      <c r="D10611">
        <v>0</v>
      </c>
    </row>
    <row r="10612" spans="1:4" hidden="1" x14ac:dyDescent="0.25">
      <c r="A10612" t="s">
        <v>702</v>
      </c>
      <c r="B10612" t="s">
        <v>99</v>
      </c>
      <c r="C10612" s="2">
        <f>HYPERLINK("https://sao.dolgi.msk.ru/account/1404285406/", 1404285406)</f>
        <v>1404285406</v>
      </c>
      <c r="D10612">
        <v>-9755.91</v>
      </c>
    </row>
    <row r="10613" spans="1:4" hidden="1" x14ac:dyDescent="0.25">
      <c r="A10613" t="s">
        <v>702</v>
      </c>
      <c r="B10613" t="s">
        <v>100</v>
      </c>
      <c r="C10613" s="2">
        <f>HYPERLINK("https://sao.dolgi.msk.ru/account/1404283777/", 1404283777)</f>
        <v>1404283777</v>
      </c>
      <c r="D10613">
        <v>-5556.22</v>
      </c>
    </row>
    <row r="10614" spans="1:4" hidden="1" x14ac:dyDescent="0.25">
      <c r="A10614" t="s">
        <v>702</v>
      </c>
      <c r="B10614" t="s">
        <v>101</v>
      </c>
      <c r="C10614" s="2">
        <f>HYPERLINK("https://sao.dolgi.msk.ru/account/1404285916/", 1404285916)</f>
        <v>1404285916</v>
      </c>
      <c r="D10614">
        <v>0</v>
      </c>
    </row>
    <row r="10615" spans="1:4" x14ac:dyDescent="0.25">
      <c r="A10615" t="s">
        <v>702</v>
      </c>
      <c r="B10615" t="s">
        <v>102</v>
      </c>
      <c r="C10615" s="2">
        <f>HYPERLINK("https://sao.dolgi.msk.ru/account/1404283371/", 1404283371)</f>
        <v>1404283371</v>
      </c>
      <c r="D10615">
        <v>1409.27</v>
      </c>
    </row>
    <row r="10616" spans="1:4" hidden="1" x14ac:dyDescent="0.25">
      <c r="A10616" t="s">
        <v>702</v>
      </c>
      <c r="B10616" t="s">
        <v>103</v>
      </c>
      <c r="C10616" s="2">
        <f>HYPERLINK("https://sao.dolgi.msk.ru/account/1404284542/", 1404284542)</f>
        <v>1404284542</v>
      </c>
      <c r="D10616">
        <v>-9349.5300000000007</v>
      </c>
    </row>
    <row r="10617" spans="1:4" hidden="1" x14ac:dyDescent="0.25">
      <c r="A10617" t="s">
        <v>702</v>
      </c>
      <c r="B10617" t="s">
        <v>104</v>
      </c>
      <c r="C10617" s="2">
        <f>HYPERLINK("https://sao.dolgi.msk.ru/account/1404283232/", 1404283232)</f>
        <v>1404283232</v>
      </c>
      <c r="D10617">
        <v>0</v>
      </c>
    </row>
    <row r="10618" spans="1:4" x14ac:dyDescent="0.25">
      <c r="A10618" t="s">
        <v>702</v>
      </c>
      <c r="B10618" t="s">
        <v>105</v>
      </c>
      <c r="C10618" s="2">
        <f>HYPERLINK("https://sao.dolgi.msk.ru/account/1404285385/", 1404285385)</f>
        <v>1404285385</v>
      </c>
      <c r="D10618">
        <v>10083.219999999999</v>
      </c>
    </row>
    <row r="10619" spans="1:4" hidden="1" x14ac:dyDescent="0.25">
      <c r="A10619" t="s">
        <v>702</v>
      </c>
      <c r="B10619" t="s">
        <v>106</v>
      </c>
      <c r="C10619" s="2">
        <f>HYPERLINK("https://sao.dolgi.msk.ru/account/1404282782/", 1404282782)</f>
        <v>1404282782</v>
      </c>
      <c r="D10619">
        <v>-4144.5200000000004</v>
      </c>
    </row>
    <row r="10620" spans="1:4" hidden="1" x14ac:dyDescent="0.25">
      <c r="A10620" t="s">
        <v>702</v>
      </c>
      <c r="B10620" t="s">
        <v>107</v>
      </c>
      <c r="C10620" s="2">
        <f>HYPERLINK("https://sao.dolgi.msk.ru/account/1404285609/", 1404285609)</f>
        <v>1404285609</v>
      </c>
      <c r="D10620">
        <v>-8606.35</v>
      </c>
    </row>
    <row r="10621" spans="1:4" hidden="1" x14ac:dyDescent="0.25">
      <c r="A10621" t="s">
        <v>702</v>
      </c>
      <c r="B10621" t="s">
        <v>108</v>
      </c>
      <c r="C10621" s="2">
        <f>HYPERLINK("https://sao.dolgi.msk.ru/account/1404284462/", 1404284462)</f>
        <v>1404284462</v>
      </c>
      <c r="D10621">
        <v>-3612.83</v>
      </c>
    </row>
    <row r="10622" spans="1:4" hidden="1" x14ac:dyDescent="0.25">
      <c r="A10622" t="s">
        <v>702</v>
      </c>
      <c r="B10622" t="s">
        <v>109</v>
      </c>
      <c r="C10622" s="2">
        <f>HYPERLINK("https://sao.dolgi.msk.ru/account/1404285721/", 1404285721)</f>
        <v>1404285721</v>
      </c>
      <c r="D10622">
        <v>-4076.96</v>
      </c>
    </row>
    <row r="10623" spans="1:4" x14ac:dyDescent="0.25">
      <c r="A10623" t="s">
        <v>702</v>
      </c>
      <c r="B10623" t="s">
        <v>110</v>
      </c>
      <c r="C10623" s="2">
        <f>HYPERLINK("https://sao.dolgi.msk.ru/account/1404284489/", 1404284489)</f>
        <v>1404284489</v>
      </c>
      <c r="D10623">
        <v>2818.54</v>
      </c>
    </row>
    <row r="10624" spans="1:4" hidden="1" x14ac:dyDescent="0.25">
      <c r="A10624" t="s">
        <v>702</v>
      </c>
      <c r="B10624" t="s">
        <v>111</v>
      </c>
      <c r="C10624" s="2">
        <f>HYPERLINK("https://sao.dolgi.msk.ru/account/1404284497/", 1404284497)</f>
        <v>1404284497</v>
      </c>
      <c r="D10624">
        <v>-4649.84</v>
      </c>
    </row>
    <row r="10625" spans="1:4" hidden="1" x14ac:dyDescent="0.25">
      <c r="A10625" t="s">
        <v>702</v>
      </c>
      <c r="B10625" t="s">
        <v>111</v>
      </c>
      <c r="C10625" s="2">
        <f>HYPERLINK("https://sao.dolgi.msk.ru/account/1404285545/", 1404285545)</f>
        <v>1404285545</v>
      </c>
      <c r="D10625">
        <v>-3186.77</v>
      </c>
    </row>
    <row r="10626" spans="1:4" hidden="1" x14ac:dyDescent="0.25">
      <c r="A10626" t="s">
        <v>702</v>
      </c>
      <c r="B10626" t="s">
        <v>112</v>
      </c>
      <c r="C10626" s="2">
        <f>HYPERLINK("https://sao.dolgi.msk.ru/account/1404284518/", 1404284518)</f>
        <v>1404284518</v>
      </c>
      <c r="D10626">
        <v>-5691.4</v>
      </c>
    </row>
    <row r="10627" spans="1:4" hidden="1" x14ac:dyDescent="0.25">
      <c r="A10627" t="s">
        <v>702</v>
      </c>
      <c r="B10627" t="s">
        <v>113</v>
      </c>
      <c r="C10627" s="2">
        <f>HYPERLINK("https://sao.dolgi.msk.ru/account/1404284526/", 1404284526)</f>
        <v>1404284526</v>
      </c>
      <c r="D10627">
        <v>-7376.13</v>
      </c>
    </row>
    <row r="10628" spans="1:4" hidden="1" x14ac:dyDescent="0.25">
      <c r="A10628" t="s">
        <v>702</v>
      </c>
      <c r="B10628" t="s">
        <v>114</v>
      </c>
      <c r="C10628" s="2">
        <f>HYPERLINK("https://sao.dolgi.msk.ru/account/1404285748/", 1404285748)</f>
        <v>1404285748</v>
      </c>
      <c r="D10628">
        <v>-8476.52</v>
      </c>
    </row>
    <row r="10629" spans="1:4" x14ac:dyDescent="0.25">
      <c r="A10629" t="s">
        <v>702</v>
      </c>
      <c r="B10629" t="s">
        <v>115</v>
      </c>
      <c r="C10629" s="2">
        <f>HYPERLINK("https://sao.dolgi.msk.ru/account/1404283929/", 1404283929)</f>
        <v>1404283929</v>
      </c>
      <c r="D10629">
        <v>483.51</v>
      </c>
    </row>
    <row r="10630" spans="1:4" hidden="1" x14ac:dyDescent="0.25">
      <c r="A10630" t="s">
        <v>702</v>
      </c>
      <c r="B10630" t="s">
        <v>116</v>
      </c>
      <c r="C10630" s="2">
        <f>HYPERLINK("https://sao.dolgi.msk.ru/account/1404285393/", 1404285393)</f>
        <v>1404285393</v>
      </c>
      <c r="D10630">
        <v>-5467.29</v>
      </c>
    </row>
    <row r="10631" spans="1:4" hidden="1" x14ac:dyDescent="0.25">
      <c r="A10631" t="s">
        <v>702</v>
      </c>
      <c r="B10631" t="s">
        <v>117</v>
      </c>
      <c r="C10631" s="2">
        <f>HYPERLINK("https://sao.dolgi.msk.ru/account/1404284315/", 1404284315)</f>
        <v>1404284315</v>
      </c>
      <c r="D10631">
        <v>-4284.96</v>
      </c>
    </row>
    <row r="10632" spans="1:4" x14ac:dyDescent="0.25">
      <c r="A10632" t="s">
        <v>702</v>
      </c>
      <c r="B10632" t="s">
        <v>118</v>
      </c>
      <c r="C10632" s="2">
        <f>HYPERLINK("https://sao.dolgi.msk.ru/account/1404283937/", 1404283937)</f>
        <v>1404283937</v>
      </c>
      <c r="D10632">
        <v>1247.1400000000001</v>
      </c>
    </row>
    <row r="10633" spans="1:4" hidden="1" x14ac:dyDescent="0.25">
      <c r="A10633" t="s">
        <v>702</v>
      </c>
      <c r="B10633" t="s">
        <v>119</v>
      </c>
      <c r="C10633" s="2">
        <f>HYPERLINK("https://sao.dolgi.msk.ru/account/1404284163/", 1404284163)</f>
        <v>1404284163</v>
      </c>
      <c r="D10633">
        <v>0</v>
      </c>
    </row>
    <row r="10634" spans="1:4" hidden="1" x14ac:dyDescent="0.25">
      <c r="A10634" t="s">
        <v>702</v>
      </c>
      <c r="B10634" t="s">
        <v>120</v>
      </c>
      <c r="C10634" s="2">
        <f>HYPERLINK("https://sao.dolgi.msk.ru/account/1404283152/", 1404283152)</f>
        <v>1404283152</v>
      </c>
      <c r="D10634">
        <v>-4489.37</v>
      </c>
    </row>
    <row r="10635" spans="1:4" hidden="1" x14ac:dyDescent="0.25">
      <c r="A10635" t="s">
        <v>702</v>
      </c>
      <c r="B10635" t="s">
        <v>121</v>
      </c>
      <c r="C10635" s="2">
        <f>HYPERLINK("https://sao.dolgi.msk.ru/account/1404284323/", 1404284323)</f>
        <v>1404284323</v>
      </c>
      <c r="D10635">
        <v>-5488.65</v>
      </c>
    </row>
    <row r="10636" spans="1:4" hidden="1" x14ac:dyDescent="0.25">
      <c r="A10636" t="s">
        <v>702</v>
      </c>
      <c r="B10636" t="s">
        <v>122</v>
      </c>
      <c r="C10636" s="2">
        <f>HYPERLINK("https://sao.dolgi.msk.ru/account/1404284331/", 1404284331)</f>
        <v>1404284331</v>
      </c>
      <c r="D10636">
        <v>-8410.08</v>
      </c>
    </row>
    <row r="10637" spans="1:4" hidden="1" x14ac:dyDescent="0.25">
      <c r="A10637" t="s">
        <v>702</v>
      </c>
      <c r="B10637" t="s">
        <v>123</v>
      </c>
      <c r="C10637" s="2">
        <f>HYPERLINK("https://sao.dolgi.msk.ru/account/1404285588/", 1404285588)</f>
        <v>1404285588</v>
      </c>
      <c r="D10637">
        <v>-10899.42</v>
      </c>
    </row>
    <row r="10638" spans="1:4" hidden="1" x14ac:dyDescent="0.25">
      <c r="A10638" t="s">
        <v>702</v>
      </c>
      <c r="B10638" t="s">
        <v>124</v>
      </c>
      <c r="C10638" s="2">
        <f>HYPERLINK("https://sao.dolgi.msk.ru/account/1404284913/", 1404284913)</f>
        <v>1404284913</v>
      </c>
      <c r="D10638">
        <v>-3089.23</v>
      </c>
    </row>
    <row r="10639" spans="1:4" hidden="1" x14ac:dyDescent="0.25">
      <c r="A10639" t="s">
        <v>702</v>
      </c>
      <c r="B10639" t="s">
        <v>125</v>
      </c>
      <c r="C10639" s="2">
        <f>HYPERLINK("https://sao.dolgi.msk.ru/account/1404284059/", 1404284059)</f>
        <v>1404284059</v>
      </c>
      <c r="D10639">
        <v>-8573.02</v>
      </c>
    </row>
    <row r="10640" spans="1:4" hidden="1" x14ac:dyDescent="0.25">
      <c r="A10640" t="s">
        <v>702</v>
      </c>
      <c r="B10640" t="s">
        <v>126</v>
      </c>
      <c r="C10640" s="2">
        <f>HYPERLINK("https://sao.dolgi.msk.ru/account/1404283646/", 1404283646)</f>
        <v>1404283646</v>
      </c>
      <c r="D10640">
        <v>-7666.35</v>
      </c>
    </row>
    <row r="10641" spans="1:4" hidden="1" x14ac:dyDescent="0.25">
      <c r="A10641" t="s">
        <v>702</v>
      </c>
      <c r="B10641" t="s">
        <v>127</v>
      </c>
      <c r="C10641" s="2">
        <f>HYPERLINK("https://sao.dolgi.msk.ru/account/1404284921/", 1404284921)</f>
        <v>1404284921</v>
      </c>
      <c r="D10641">
        <v>-6147.58</v>
      </c>
    </row>
    <row r="10642" spans="1:4" hidden="1" x14ac:dyDescent="0.25">
      <c r="A10642" t="s">
        <v>702</v>
      </c>
      <c r="B10642" t="s">
        <v>128</v>
      </c>
      <c r="C10642" s="2">
        <f>HYPERLINK("https://sao.dolgi.msk.ru/account/1404285756/", 1404285756)</f>
        <v>1404285756</v>
      </c>
      <c r="D10642">
        <v>-4222.67</v>
      </c>
    </row>
    <row r="10643" spans="1:4" hidden="1" x14ac:dyDescent="0.25">
      <c r="A10643" t="s">
        <v>702</v>
      </c>
      <c r="B10643" t="s">
        <v>129</v>
      </c>
      <c r="C10643" s="2">
        <f>HYPERLINK("https://sao.dolgi.msk.ru/account/1404283259/", 1404283259)</f>
        <v>1404283259</v>
      </c>
      <c r="D10643">
        <v>0</v>
      </c>
    </row>
    <row r="10644" spans="1:4" hidden="1" x14ac:dyDescent="0.25">
      <c r="A10644" t="s">
        <v>702</v>
      </c>
      <c r="B10644" t="s">
        <v>130</v>
      </c>
      <c r="C10644" s="2">
        <f>HYPERLINK("https://sao.dolgi.msk.ru/account/1404284948/", 1404284948)</f>
        <v>1404284948</v>
      </c>
      <c r="D10644">
        <v>-3834.38</v>
      </c>
    </row>
    <row r="10645" spans="1:4" hidden="1" x14ac:dyDescent="0.25">
      <c r="A10645" t="s">
        <v>702</v>
      </c>
      <c r="B10645" t="s">
        <v>131</v>
      </c>
      <c r="C10645" s="2">
        <f>HYPERLINK("https://sao.dolgi.msk.ru/account/1404282803/", 1404282803)</f>
        <v>1404282803</v>
      </c>
      <c r="D10645">
        <v>0</v>
      </c>
    </row>
    <row r="10646" spans="1:4" hidden="1" x14ac:dyDescent="0.25">
      <c r="A10646" t="s">
        <v>702</v>
      </c>
      <c r="B10646" t="s">
        <v>132</v>
      </c>
      <c r="C10646" s="2">
        <f>HYPERLINK("https://sao.dolgi.msk.ru/account/1404283283/", 1404283283)</f>
        <v>1404283283</v>
      </c>
      <c r="D10646">
        <v>-5093.26</v>
      </c>
    </row>
    <row r="10647" spans="1:4" x14ac:dyDescent="0.25">
      <c r="A10647" t="s">
        <v>702</v>
      </c>
      <c r="B10647" t="s">
        <v>133</v>
      </c>
      <c r="C10647" s="2">
        <f>HYPERLINK("https://sao.dolgi.msk.ru/account/1404282846/", 1404282846)</f>
        <v>1404282846</v>
      </c>
      <c r="D10647">
        <v>8667.51</v>
      </c>
    </row>
    <row r="10648" spans="1:4" hidden="1" x14ac:dyDescent="0.25">
      <c r="A10648" t="s">
        <v>702</v>
      </c>
      <c r="B10648" t="s">
        <v>134</v>
      </c>
      <c r="C10648" s="2">
        <f>HYPERLINK("https://sao.dolgi.msk.ru/account/1404285887/", 1404285887)</f>
        <v>1404285887</v>
      </c>
      <c r="D10648">
        <v>0</v>
      </c>
    </row>
    <row r="10649" spans="1:4" hidden="1" x14ac:dyDescent="0.25">
      <c r="A10649" t="s">
        <v>702</v>
      </c>
      <c r="B10649" t="s">
        <v>135</v>
      </c>
      <c r="C10649" s="2">
        <f>HYPERLINK("https://sao.dolgi.msk.ru/account/1404285414/", 1404285414)</f>
        <v>1404285414</v>
      </c>
      <c r="D10649">
        <v>-14770.04</v>
      </c>
    </row>
    <row r="10650" spans="1:4" x14ac:dyDescent="0.25">
      <c r="A10650" t="s">
        <v>702</v>
      </c>
      <c r="B10650" t="s">
        <v>136</v>
      </c>
      <c r="C10650" s="2">
        <f>HYPERLINK("https://sao.dolgi.msk.ru/account/1404284278/", 1404284278)</f>
        <v>1404284278</v>
      </c>
      <c r="D10650">
        <v>13878.37</v>
      </c>
    </row>
    <row r="10651" spans="1:4" hidden="1" x14ac:dyDescent="0.25">
      <c r="A10651" t="s">
        <v>702</v>
      </c>
      <c r="B10651" t="s">
        <v>137</v>
      </c>
      <c r="C10651" s="2">
        <f>HYPERLINK("https://sao.dolgi.msk.ru/account/1404284585/", 1404284585)</f>
        <v>1404284585</v>
      </c>
      <c r="D10651">
        <v>-18182.080000000002</v>
      </c>
    </row>
    <row r="10652" spans="1:4" x14ac:dyDescent="0.25">
      <c r="A10652" t="s">
        <v>702</v>
      </c>
      <c r="B10652" t="s">
        <v>138</v>
      </c>
      <c r="C10652" s="2">
        <f>HYPERLINK("https://sao.dolgi.msk.ru/account/1404285182/", 1404285182)</f>
        <v>1404285182</v>
      </c>
      <c r="D10652">
        <v>15911.5</v>
      </c>
    </row>
    <row r="10653" spans="1:4" hidden="1" x14ac:dyDescent="0.25">
      <c r="A10653" t="s">
        <v>702</v>
      </c>
      <c r="B10653" t="s">
        <v>139</v>
      </c>
      <c r="C10653" s="2">
        <f>HYPERLINK("https://sao.dolgi.msk.ru/account/1404282897/", 1404282897)</f>
        <v>1404282897</v>
      </c>
      <c r="D10653">
        <v>-6590.98</v>
      </c>
    </row>
    <row r="10654" spans="1:4" hidden="1" x14ac:dyDescent="0.25">
      <c r="A10654" t="s">
        <v>702</v>
      </c>
      <c r="B10654" t="s">
        <v>140</v>
      </c>
      <c r="C10654" s="2">
        <f>HYPERLINK("https://sao.dolgi.msk.ru/account/1404283988/", 1404283988)</f>
        <v>1404283988</v>
      </c>
      <c r="D10654">
        <v>-7041.07</v>
      </c>
    </row>
    <row r="10655" spans="1:4" hidden="1" x14ac:dyDescent="0.25">
      <c r="A10655" t="s">
        <v>702</v>
      </c>
      <c r="B10655" t="s">
        <v>141</v>
      </c>
      <c r="C10655" s="2">
        <f>HYPERLINK("https://sao.dolgi.msk.ru/account/1404284198/", 1404284198)</f>
        <v>1404284198</v>
      </c>
      <c r="D10655">
        <v>0</v>
      </c>
    </row>
    <row r="10656" spans="1:4" hidden="1" x14ac:dyDescent="0.25">
      <c r="A10656" t="s">
        <v>702</v>
      </c>
      <c r="B10656" t="s">
        <v>142</v>
      </c>
      <c r="C10656" s="2">
        <f>HYPERLINK("https://sao.dolgi.msk.ru/account/1404283531/", 1404283531)</f>
        <v>1404283531</v>
      </c>
      <c r="D10656">
        <v>-7161.77</v>
      </c>
    </row>
    <row r="10657" spans="1:4" hidden="1" x14ac:dyDescent="0.25">
      <c r="A10657" t="s">
        <v>702</v>
      </c>
      <c r="B10657" t="s">
        <v>143</v>
      </c>
      <c r="C10657" s="2">
        <f>HYPERLINK("https://sao.dolgi.msk.ru/account/1404283638/", 1404283638)</f>
        <v>1404283638</v>
      </c>
      <c r="D10657">
        <v>0</v>
      </c>
    </row>
    <row r="10658" spans="1:4" hidden="1" x14ac:dyDescent="0.25">
      <c r="A10658" t="s">
        <v>702</v>
      </c>
      <c r="B10658" t="s">
        <v>144</v>
      </c>
      <c r="C10658" s="2">
        <f>HYPERLINK("https://sao.dolgi.msk.ru/account/1404285684/", 1404285684)</f>
        <v>1404285684</v>
      </c>
      <c r="D10658">
        <v>0</v>
      </c>
    </row>
    <row r="10659" spans="1:4" hidden="1" x14ac:dyDescent="0.25">
      <c r="A10659" t="s">
        <v>702</v>
      </c>
      <c r="B10659" t="s">
        <v>145</v>
      </c>
      <c r="C10659" s="2">
        <f>HYPERLINK("https://sao.dolgi.msk.ru/account/1404283654/", 1404283654)</f>
        <v>1404283654</v>
      </c>
      <c r="D10659">
        <v>-8194.84</v>
      </c>
    </row>
    <row r="10660" spans="1:4" hidden="1" x14ac:dyDescent="0.25">
      <c r="A10660" t="s">
        <v>702</v>
      </c>
      <c r="B10660" t="s">
        <v>146</v>
      </c>
      <c r="C10660" s="2">
        <f>HYPERLINK("https://sao.dolgi.msk.ru/account/1404285852/", 1404285852)</f>
        <v>1404285852</v>
      </c>
      <c r="D10660">
        <v>0</v>
      </c>
    </row>
    <row r="10661" spans="1:4" hidden="1" x14ac:dyDescent="0.25">
      <c r="A10661" t="s">
        <v>702</v>
      </c>
      <c r="B10661" t="s">
        <v>147</v>
      </c>
      <c r="C10661" s="2">
        <f>HYPERLINK("https://sao.dolgi.msk.ru/account/1404282993/", 1404282993)</f>
        <v>1404282993</v>
      </c>
      <c r="D10661">
        <v>0</v>
      </c>
    </row>
    <row r="10662" spans="1:4" hidden="1" x14ac:dyDescent="0.25">
      <c r="A10662" t="s">
        <v>702</v>
      </c>
      <c r="B10662" t="s">
        <v>148</v>
      </c>
      <c r="C10662" s="2">
        <f>HYPERLINK("https://sao.dolgi.msk.ru/account/1404285035/", 1404285035)</f>
        <v>1404285035</v>
      </c>
      <c r="D10662">
        <v>-4802.09</v>
      </c>
    </row>
    <row r="10663" spans="1:4" hidden="1" x14ac:dyDescent="0.25">
      <c r="A10663" t="s">
        <v>702</v>
      </c>
      <c r="B10663" t="s">
        <v>149</v>
      </c>
      <c r="C10663" s="2">
        <f>HYPERLINK("https://sao.dolgi.msk.ru/account/1404284593/", 1404284593)</f>
        <v>1404284593</v>
      </c>
      <c r="D10663">
        <v>-4563.03</v>
      </c>
    </row>
    <row r="10664" spans="1:4" hidden="1" x14ac:dyDescent="0.25">
      <c r="A10664" t="s">
        <v>702</v>
      </c>
      <c r="B10664" t="s">
        <v>150</v>
      </c>
      <c r="C10664" s="2">
        <f>HYPERLINK("https://sao.dolgi.msk.ru/account/1404284606/", 1404284606)</f>
        <v>1404284606</v>
      </c>
      <c r="D10664">
        <v>-793.43</v>
      </c>
    </row>
    <row r="10665" spans="1:4" hidden="1" x14ac:dyDescent="0.25">
      <c r="A10665" t="s">
        <v>702</v>
      </c>
      <c r="B10665" t="s">
        <v>151</v>
      </c>
      <c r="C10665" s="2">
        <f>HYPERLINK("https://sao.dolgi.msk.ru/account/1404284614/", 1404284614)</f>
        <v>1404284614</v>
      </c>
      <c r="D10665">
        <v>-737.99</v>
      </c>
    </row>
    <row r="10666" spans="1:4" hidden="1" x14ac:dyDescent="0.25">
      <c r="A10666" t="s">
        <v>702</v>
      </c>
      <c r="B10666" t="s">
        <v>152</v>
      </c>
      <c r="C10666" s="2">
        <f>HYPERLINK("https://sao.dolgi.msk.ru/account/1404285879/", 1404285879)</f>
        <v>1404285879</v>
      </c>
      <c r="D10666">
        <v>-5403.6</v>
      </c>
    </row>
    <row r="10667" spans="1:4" hidden="1" x14ac:dyDescent="0.25">
      <c r="A10667" t="s">
        <v>702</v>
      </c>
      <c r="B10667" t="s">
        <v>153</v>
      </c>
      <c r="C10667" s="2">
        <f>HYPERLINK("https://sao.dolgi.msk.ru/account/1404285473/", 1404285473)</f>
        <v>1404285473</v>
      </c>
      <c r="D10667">
        <v>-7783.71</v>
      </c>
    </row>
    <row r="10668" spans="1:4" hidden="1" x14ac:dyDescent="0.25">
      <c r="A10668" t="s">
        <v>702</v>
      </c>
      <c r="B10668" t="s">
        <v>154</v>
      </c>
      <c r="C10668" s="2">
        <f>HYPERLINK("https://sao.dolgi.msk.ru/account/1404283566/", 1404283566)</f>
        <v>1404283566</v>
      </c>
      <c r="D10668">
        <v>0</v>
      </c>
    </row>
    <row r="10669" spans="1:4" hidden="1" x14ac:dyDescent="0.25">
      <c r="A10669" t="s">
        <v>702</v>
      </c>
      <c r="B10669" t="s">
        <v>155</v>
      </c>
      <c r="C10669" s="2">
        <f>HYPERLINK("https://sao.dolgi.msk.ru/account/1404284825/", 1404284825)</f>
        <v>1404284825</v>
      </c>
      <c r="D10669">
        <v>-5087.1400000000003</v>
      </c>
    </row>
    <row r="10670" spans="1:4" hidden="1" x14ac:dyDescent="0.25">
      <c r="A10670" t="s">
        <v>702</v>
      </c>
      <c r="B10670" t="s">
        <v>156</v>
      </c>
      <c r="C10670" s="2">
        <f>HYPERLINK("https://sao.dolgi.msk.ru/account/1404285115/", 1404285115)</f>
        <v>1404285115</v>
      </c>
      <c r="D10670">
        <v>-8353.7900000000009</v>
      </c>
    </row>
    <row r="10671" spans="1:4" x14ac:dyDescent="0.25">
      <c r="A10671" t="s">
        <v>702</v>
      </c>
      <c r="B10671" t="s">
        <v>157</v>
      </c>
      <c r="C10671" s="2">
        <f>HYPERLINK("https://sao.dolgi.msk.ru/account/1404285123/", 1404285123)</f>
        <v>1404285123</v>
      </c>
      <c r="D10671">
        <v>17903.62</v>
      </c>
    </row>
    <row r="10672" spans="1:4" hidden="1" x14ac:dyDescent="0.25">
      <c r="A10672" t="s">
        <v>702</v>
      </c>
      <c r="B10672" t="s">
        <v>158</v>
      </c>
      <c r="C10672" s="2">
        <f>HYPERLINK("https://sao.dolgi.msk.ru/account/1404285131/", 1404285131)</f>
        <v>1404285131</v>
      </c>
      <c r="D10672">
        <v>-8596.39</v>
      </c>
    </row>
    <row r="10673" spans="1:4" hidden="1" x14ac:dyDescent="0.25">
      <c r="A10673" t="s">
        <v>702</v>
      </c>
      <c r="B10673" t="s">
        <v>159</v>
      </c>
      <c r="C10673" s="2">
        <f>HYPERLINK("https://sao.dolgi.msk.ru/account/1404283451/", 1404283451)</f>
        <v>1404283451</v>
      </c>
      <c r="D10673">
        <v>-4921.41</v>
      </c>
    </row>
    <row r="10674" spans="1:4" hidden="1" x14ac:dyDescent="0.25">
      <c r="A10674" t="s">
        <v>702</v>
      </c>
      <c r="B10674" t="s">
        <v>160</v>
      </c>
      <c r="C10674" s="2">
        <f>HYPERLINK("https://sao.dolgi.msk.ru/account/1404284737/", 1404284737)</f>
        <v>1404284737</v>
      </c>
      <c r="D10674">
        <v>-3119.17</v>
      </c>
    </row>
    <row r="10675" spans="1:4" hidden="1" x14ac:dyDescent="0.25">
      <c r="A10675" t="s">
        <v>702</v>
      </c>
      <c r="B10675" t="s">
        <v>161</v>
      </c>
      <c r="C10675" s="2">
        <f>HYPERLINK("https://sao.dolgi.msk.ru/account/1404283478/", 1404283478)</f>
        <v>1404283478</v>
      </c>
      <c r="D10675">
        <v>0</v>
      </c>
    </row>
    <row r="10676" spans="1:4" hidden="1" x14ac:dyDescent="0.25">
      <c r="A10676" t="s">
        <v>702</v>
      </c>
      <c r="B10676" t="s">
        <v>162</v>
      </c>
      <c r="C10676" s="2">
        <f>HYPERLINK("https://sao.dolgi.msk.ru/account/1404284358/", 1404284358)</f>
        <v>1404284358</v>
      </c>
      <c r="D10676">
        <v>0</v>
      </c>
    </row>
    <row r="10677" spans="1:4" hidden="1" x14ac:dyDescent="0.25">
      <c r="A10677" t="s">
        <v>702</v>
      </c>
      <c r="B10677" t="s">
        <v>163</v>
      </c>
      <c r="C10677" s="2">
        <f>HYPERLINK("https://sao.dolgi.msk.ru/account/1404285668/", 1404285668)</f>
        <v>1404285668</v>
      </c>
      <c r="D10677">
        <v>-4270.3599999999997</v>
      </c>
    </row>
    <row r="10678" spans="1:4" x14ac:dyDescent="0.25">
      <c r="A10678" t="s">
        <v>702</v>
      </c>
      <c r="B10678" t="s">
        <v>164</v>
      </c>
      <c r="C10678" s="2">
        <f>HYPERLINK("https://sao.dolgi.msk.ru/account/1404283507/", 1404283507)</f>
        <v>1404283507</v>
      </c>
      <c r="D10678">
        <v>14063.25</v>
      </c>
    </row>
    <row r="10679" spans="1:4" hidden="1" x14ac:dyDescent="0.25">
      <c r="A10679" t="s">
        <v>702</v>
      </c>
      <c r="B10679" t="s">
        <v>165</v>
      </c>
      <c r="C10679" s="2">
        <f>HYPERLINK("https://sao.dolgi.msk.ru/account/1404283945/", 1404283945)</f>
        <v>1404283945</v>
      </c>
      <c r="D10679">
        <v>0</v>
      </c>
    </row>
    <row r="10680" spans="1:4" hidden="1" x14ac:dyDescent="0.25">
      <c r="A10680" t="s">
        <v>702</v>
      </c>
      <c r="B10680" t="s">
        <v>166</v>
      </c>
      <c r="C10680" s="2">
        <f>HYPERLINK("https://sao.dolgi.msk.ru/account/1404284366/", 1404284366)</f>
        <v>1404284366</v>
      </c>
      <c r="D10680">
        <v>0</v>
      </c>
    </row>
    <row r="10681" spans="1:4" x14ac:dyDescent="0.25">
      <c r="A10681" t="s">
        <v>702</v>
      </c>
      <c r="B10681" t="s">
        <v>167</v>
      </c>
      <c r="C10681" s="2">
        <f>HYPERLINK("https://sao.dolgi.msk.ru/account/1404282707/", 1404282707)</f>
        <v>1404282707</v>
      </c>
      <c r="D10681">
        <v>8393.48</v>
      </c>
    </row>
    <row r="10682" spans="1:4" hidden="1" x14ac:dyDescent="0.25">
      <c r="A10682" t="s">
        <v>702</v>
      </c>
      <c r="B10682" t="s">
        <v>168</v>
      </c>
      <c r="C10682" s="2">
        <f>HYPERLINK("https://sao.dolgi.msk.ru/account/1404285676/", 1404285676)</f>
        <v>1404285676</v>
      </c>
      <c r="D10682">
        <v>-6492.54</v>
      </c>
    </row>
    <row r="10683" spans="1:4" x14ac:dyDescent="0.25">
      <c r="A10683" t="s">
        <v>702</v>
      </c>
      <c r="B10683" t="s">
        <v>169</v>
      </c>
      <c r="C10683" s="2">
        <f>HYPERLINK("https://sao.dolgi.msk.ru/account/1404285166/", 1404285166)</f>
        <v>1404285166</v>
      </c>
      <c r="D10683">
        <v>35308.71</v>
      </c>
    </row>
    <row r="10684" spans="1:4" x14ac:dyDescent="0.25">
      <c r="A10684" t="s">
        <v>702</v>
      </c>
      <c r="B10684" t="s">
        <v>170</v>
      </c>
      <c r="C10684" s="2">
        <f>HYPERLINK("https://sao.dolgi.msk.ru/account/1404283267/", 1404283267)</f>
        <v>1404283267</v>
      </c>
      <c r="D10684">
        <v>48540.71</v>
      </c>
    </row>
    <row r="10685" spans="1:4" hidden="1" x14ac:dyDescent="0.25">
      <c r="A10685" t="s">
        <v>702</v>
      </c>
      <c r="B10685" t="s">
        <v>171</v>
      </c>
      <c r="C10685" s="2">
        <f>HYPERLINK("https://sao.dolgi.msk.ru/account/1404284219/", 1404284219)</f>
        <v>1404284219</v>
      </c>
      <c r="D10685">
        <v>0</v>
      </c>
    </row>
    <row r="10686" spans="1:4" hidden="1" x14ac:dyDescent="0.25">
      <c r="A10686" t="s">
        <v>702</v>
      </c>
      <c r="B10686" t="s">
        <v>172</v>
      </c>
      <c r="C10686" s="2">
        <f>HYPERLINK("https://sao.dolgi.msk.ru/account/1404284796/", 1404284796)</f>
        <v>1404284796</v>
      </c>
      <c r="D10686">
        <v>-7004.57</v>
      </c>
    </row>
    <row r="10687" spans="1:4" hidden="1" x14ac:dyDescent="0.25">
      <c r="A10687" t="s">
        <v>702</v>
      </c>
      <c r="B10687" t="s">
        <v>173</v>
      </c>
      <c r="C10687" s="2">
        <f>HYPERLINK("https://sao.dolgi.msk.ru/account/1404283953/", 1404283953)</f>
        <v>1404283953</v>
      </c>
      <c r="D10687">
        <v>-12866.12</v>
      </c>
    </row>
    <row r="10688" spans="1:4" hidden="1" x14ac:dyDescent="0.25">
      <c r="A10688" t="s">
        <v>702</v>
      </c>
      <c r="B10688" t="s">
        <v>174</v>
      </c>
      <c r="C10688" s="2">
        <f>HYPERLINK("https://sao.dolgi.msk.ru/account/1404283515/", 1404283515)</f>
        <v>1404283515</v>
      </c>
      <c r="D10688">
        <v>-8922.36</v>
      </c>
    </row>
    <row r="10689" spans="1:4" hidden="1" x14ac:dyDescent="0.25">
      <c r="A10689" t="s">
        <v>702</v>
      </c>
      <c r="B10689" t="s">
        <v>175</v>
      </c>
      <c r="C10689" s="2">
        <f>HYPERLINK("https://sao.dolgi.msk.ru/account/1404284809/", 1404284809)</f>
        <v>1404284809</v>
      </c>
      <c r="D10689">
        <v>-3061.09</v>
      </c>
    </row>
    <row r="10690" spans="1:4" hidden="1" x14ac:dyDescent="0.25">
      <c r="A10690" t="s">
        <v>702</v>
      </c>
      <c r="B10690" t="s">
        <v>176</v>
      </c>
      <c r="C10690" s="2">
        <f>HYPERLINK("https://sao.dolgi.msk.ru/account/1404283961/", 1404283961)</f>
        <v>1404283961</v>
      </c>
      <c r="D10690">
        <v>-6151.2</v>
      </c>
    </row>
    <row r="10691" spans="1:4" x14ac:dyDescent="0.25">
      <c r="A10691" t="s">
        <v>702</v>
      </c>
      <c r="B10691" t="s">
        <v>177</v>
      </c>
      <c r="C10691" s="2">
        <f>HYPERLINK("https://sao.dolgi.msk.ru/account/1404283523/", 1404283523)</f>
        <v>1404283523</v>
      </c>
      <c r="D10691">
        <v>15383.13</v>
      </c>
    </row>
    <row r="10692" spans="1:4" hidden="1" x14ac:dyDescent="0.25">
      <c r="A10692" t="s">
        <v>702</v>
      </c>
      <c r="B10692" t="s">
        <v>178</v>
      </c>
      <c r="C10692" s="2">
        <f>HYPERLINK("https://sao.dolgi.msk.ru/account/1404284649/", 1404284649)</f>
        <v>1404284649</v>
      </c>
      <c r="D10692">
        <v>-3481.61</v>
      </c>
    </row>
    <row r="10693" spans="1:4" hidden="1" x14ac:dyDescent="0.25">
      <c r="A10693" t="s">
        <v>702</v>
      </c>
      <c r="B10693" t="s">
        <v>178</v>
      </c>
      <c r="C10693" s="2">
        <f>HYPERLINK("https://sao.dolgi.msk.ru/account/1404285174/", 1404285174)</f>
        <v>1404285174</v>
      </c>
      <c r="D10693">
        <v>-3336.57</v>
      </c>
    </row>
    <row r="10694" spans="1:4" hidden="1" x14ac:dyDescent="0.25">
      <c r="A10694" t="s">
        <v>702</v>
      </c>
      <c r="B10694" t="s">
        <v>179</v>
      </c>
      <c r="C10694" s="2">
        <f>HYPERLINK("https://sao.dolgi.msk.ru/account/1404285772/", 1404285772)</f>
        <v>1404285772</v>
      </c>
      <c r="D10694">
        <v>-4191.4399999999996</v>
      </c>
    </row>
    <row r="10695" spans="1:4" hidden="1" x14ac:dyDescent="0.25">
      <c r="A10695" t="s">
        <v>702</v>
      </c>
      <c r="B10695" t="s">
        <v>180</v>
      </c>
      <c r="C10695" s="2">
        <f>HYPERLINK("https://sao.dolgi.msk.ru/account/1404284956/", 1404284956)</f>
        <v>1404284956</v>
      </c>
      <c r="D10695">
        <v>-5717.46</v>
      </c>
    </row>
    <row r="10696" spans="1:4" x14ac:dyDescent="0.25">
      <c r="A10696" t="s">
        <v>702</v>
      </c>
      <c r="B10696" t="s">
        <v>181</v>
      </c>
      <c r="C10696" s="2">
        <f>HYPERLINK("https://sao.dolgi.msk.ru/account/1404283291/", 1404283291)</f>
        <v>1404283291</v>
      </c>
      <c r="D10696">
        <v>4484.2</v>
      </c>
    </row>
    <row r="10697" spans="1:4" hidden="1" x14ac:dyDescent="0.25">
      <c r="A10697" t="s">
        <v>702</v>
      </c>
      <c r="B10697" t="s">
        <v>182</v>
      </c>
      <c r="C10697" s="2">
        <f>HYPERLINK("https://sao.dolgi.msk.ru/account/1404282854/", 1404282854)</f>
        <v>1404282854</v>
      </c>
      <c r="D10697">
        <v>-8750.52</v>
      </c>
    </row>
    <row r="10698" spans="1:4" hidden="1" x14ac:dyDescent="0.25">
      <c r="A10698" t="s">
        <v>702</v>
      </c>
      <c r="B10698" t="s">
        <v>183</v>
      </c>
      <c r="C10698" s="2">
        <f>HYPERLINK("https://sao.dolgi.msk.ru/account/1404282862/", 1404282862)</f>
        <v>1404282862</v>
      </c>
      <c r="D10698">
        <v>0</v>
      </c>
    </row>
    <row r="10699" spans="1:4" hidden="1" x14ac:dyDescent="0.25">
      <c r="A10699" t="s">
        <v>702</v>
      </c>
      <c r="B10699" t="s">
        <v>184</v>
      </c>
      <c r="C10699" s="2">
        <f>HYPERLINK("https://sao.dolgi.msk.ru/account/1404285799/", 1404285799)</f>
        <v>1404285799</v>
      </c>
      <c r="D10699">
        <v>-3235.23</v>
      </c>
    </row>
    <row r="10700" spans="1:4" hidden="1" x14ac:dyDescent="0.25">
      <c r="A10700" t="s">
        <v>702</v>
      </c>
      <c r="B10700" t="s">
        <v>185</v>
      </c>
      <c r="C10700" s="2">
        <f>HYPERLINK("https://sao.dolgi.msk.ru/account/1404284964/", 1404284964)</f>
        <v>1404284964</v>
      </c>
      <c r="D10700">
        <v>-6019.55</v>
      </c>
    </row>
    <row r="10701" spans="1:4" hidden="1" x14ac:dyDescent="0.25">
      <c r="A10701" t="s">
        <v>702</v>
      </c>
      <c r="B10701" t="s">
        <v>186</v>
      </c>
      <c r="C10701" s="2">
        <f>HYPERLINK("https://sao.dolgi.msk.ru/account/1404284972/", 1404284972)</f>
        <v>1404284972</v>
      </c>
      <c r="D10701">
        <v>0</v>
      </c>
    </row>
    <row r="10702" spans="1:4" hidden="1" x14ac:dyDescent="0.25">
      <c r="A10702" t="s">
        <v>702</v>
      </c>
      <c r="B10702" t="s">
        <v>187</v>
      </c>
      <c r="C10702" s="2">
        <f>HYPERLINK("https://sao.dolgi.msk.ru/account/1404284999/", 1404284999)</f>
        <v>1404284999</v>
      </c>
      <c r="D10702">
        <v>-4409.9799999999996</v>
      </c>
    </row>
    <row r="10703" spans="1:4" hidden="1" x14ac:dyDescent="0.25">
      <c r="A10703" t="s">
        <v>702</v>
      </c>
      <c r="B10703" t="s">
        <v>188</v>
      </c>
      <c r="C10703" s="2">
        <f>HYPERLINK("https://sao.dolgi.msk.ru/account/1404284083/", 1404284083)</f>
        <v>1404284083</v>
      </c>
      <c r="D10703">
        <v>0</v>
      </c>
    </row>
    <row r="10704" spans="1:4" hidden="1" x14ac:dyDescent="0.25">
      <c r="A10704" t="s">
        <v>702</v>
      </c>
      <c r="B10704" t="s">
        <v>189</v>
      </c>
      <c r="C10704" s="2">
        <f>HYPERLINK("https://sao.dolgi.msk.ru/account/1404285422/", 1404285422)</f>
        <v>1404285422</v>
      </c>
      <c r="D10704">
        <v>0</v>
      </c>
    </row>
    <row r="10705" spans="1:4" x14ac:dyDescent="0.25">
      <c r="A10705" t="s">
        <v>702</v>
      </c>
      <c r="B10705" t="s">
        <v>190</v>
      </c>
      <c r="C10705" s="2">
        <f>HYPERLINK("https://sao.dolgi.msk.ru/account/1404284438/", 1404284438)</f>
        <v>1404284438</v>
      </c>
      <c r="D10705">
        <v>14977.66</v>
      </c>
    </row>
    <row r="10706" spans="1:4" hidden="1" x14ac:dyDescent="0.25">
      <c r="A10706" t="s">
        <v>702</v>
      </c>
      <c r="B10706" t="s">
        <v>191</v>
      </c>
      <c r="C10706" s="2">
        <f>HYPERLINK("https://sao.dolgi.msk.ru/account/1404284729/", 1404284729)</f>
        <v>1404284729</v>
      </c>
      <c r="D10706">
        <v>-5638.13</v>
      </c>
    </row>
    <row r="10707" spans="1:4" hidden="1" x14ac:dyDescent="0.25">
      <c r="A10707" t="s">
        <v>702</v>
      </c>
      <c r="B10707" t="s">
        <v>192</v>
      </c>
      <c r="C10707" s="2">
        <f>HYPERLINK("https://sao.dolgi.msk.ru/account/1404282643/", 1404282643)</f>
        <v>1404282643</v>
      </c>
      <c r="D10707">
        <v>0</v>
      </c>
    </row>
    <row r="10708" spans="1:4" hidden="1" x14ac:dyDescent="0.25">
      <c r="A10708" t="s">
        <v>702</v>
      </c>
      <c r="B10708" t="s">
        <v>193</v>
      </c>
      <c r="C10708" s="2">
        <f>HYPERLINK("https://sao.dolgi.msk.ru/account/1404283443/", 1404283443)</f>
        <v>1404283443</v>
      </c>
      <c r="D10708">
        <v>-6944.75</v>
      </c>
    </row>
    <row r="10709" spans="1:4" hidden="1" x14ac:dyDescent="0.25">
      <c r="A10709" t="s">
        <v>702</v>
      </c>
      <c r="B10709" t="s">
        <v>194</v>
      </c>
      <c r="C10709" s="2">
        <f>HYPERLINK("https://sao.dolgi.msk.ru/account/1404283048/", 1404283048)</f>
        <v>1404283048</v>
      </c>
      <c r="D10709">
        <v>-12197.73</v>
      </c>
    </row>
    <row r="10710" spans="1:4" hidden="1" x14ac:dyDescent="0.25">
      <c r="A10710" t="s">
        <v>702</v>
      </c>
      <c r="B10710" t="s">
        <v>195</v>
      </c>
      <c r="C10710" s="2">
        <f>HYPERLINK("https://sao.dolgi.msk.ru/account/1404284374/", 1404284374)</f>
        <v>1404284374</v>
      </c>
      <c r="D10710">
        <v>-2680.72</v>
      </c>
    </row>
    <row r="10711" spans="1:4" x14ac:dyDescent="0.25">
      <c r="A10711" t="s">
        <v>702</v>
      </c>
      <c r="B10711" t="s">
        <v>196</v>
      </c>
      <c r="C10711" s="2">
        <f>HYPERLINK("https://sao.dolgi.msk.ru/account/1404283849/", 1404283849)</f>
        <v>1404283849</v>
      </c>
      <c r="D10711">
        <v>19833.22</v>
      </c>
    </row>
    <row r="10712" spans="1:4" hidden="1" x14ac:dyDescent="0.25">
      <c r="A10712" t="s">
        <v>702</v>
      </c>
      <c r="B10712" t="s">
        <v>197</v>
      </c>
      <c r="C10712" s="2">
        <f>HYPERLINK("https://sao.dolgi.msk.ru/account/1404284294/", 1404284294)</f>
        <v>1404284294</v>
      </c>
      <c r="D10712">
        <v>0</v>
      </c>
    </row>
    <row r="10713" spans="1:4" hidden="1" x14ac:dyDescent="0.25">
      <c r="A10713" t="s">
        <v>702</v>
      </c>
      <c r="B10713" t="s">
        <v>198</v>
      </c>
      <c r="C10713" s="2">
        <f>HYPERLINK("https://sao.dolgi.msk.ru/account/1404285107/", 1404285107)</f>
        <v>1404285107</v>
      </c>
      <c r="D10713">
        <v>-8352.94</v>
      </c>
    </row>
    <row r="10714" spans="1:4" hidden="1" x14ac:dyDescent="0.25">
      <c r="A10714" t="s">
        <v>702</v>
      </c>
      <c r="B10714" t="s">
        <v>199</v>
      </c>
      <c r="C10714" s="2">
        <f>HYPERLINK("https://sao.dolgi.msk.ru/account/1404283857/", 1404283857)</f>
        <v>1404283857</v>
      </c>
      <c r="D10714">
        <v>-5264.1</v>
      </c>
    </row>
    <row r="10715" spans="1:4" x14ac:dyDescent="0.25">
      <c r="A10715" t="s">
        <v>702</v>
      </c>
      <c r="B10715" t="s">
        <v>200</v>
      </c>
      <c r="C10715" s="2">
        <f>HYPERLINK("https://sao.dolgi.msk.ru/account/1404283865/", 1404283865)</f>
        <v>1404283865</v>
      </c>
      <c r="D10715">
        <v>22659.65</v>
      </c>
    </row>
    <row r="10716" spans="1:4" hidden="1" x14ac:dyDescent="0.25">
      <c r="A10716" t="s">
        <v>702</v>
      </c>
      <c r="B10716" t="s">
        <v>201</v>
      </c>
      <c r="C10716" s="2">
        <f>HYPERLINK("https://sao.dolgi.msk.ru/account/1404282889/", 1404282889)</f>
        <v>1404282889</v>
      </c>
      <c r="D10716">
        <v>-9234.3700000000008</v>
      </c>
    </row>
    <row r="10717" spans="1:4" hidden="1" x14ac:dyDescent="0.25">
      <c r="A10717" t="s">
        <v>702</v>
      </c>
      <c r="B10717" t="s">
        <v>202</v>
      </c>
      <c r="C10717" s="2">
        <f>HYPERLINK("https://sao.dolgi.msk.ru/account/1404284307/", 1404284307)</f>
        <v>1404284307</v>
      </c>
      <c r="D10717">
        <v>-6922.87</v>
      </c>
    </row>
    <row r="10718" spans="1:4" x14ac:dyDescent="0.25">
      <c r="A10718" t="s">
        <v>702</v>
      </c>
      <c r="B10718" t="s">
        <v>203</v>
      </c>
      <c r="C10718" s="2">
        <f>HYPERLINK("https://sao.dolgi.msk.ru/account/1404284091/", 1404284091)</f>
        <v>1404284091</v>
      </c>
      <c r="D10718">
        <v>27708.93</v>
      </c>
    </row>
    <row r="10719" spans="1:4" hidden="1" x14ac:dyDescent="0.25">
      <c r="A10719" t="s">
        <v>702</v>
      </c>
      <c r="B10719" t="s">
        <v>204</v>
      </c>
      <c r="C10719" s="2">
        <f>HYPERLINK("https://sao.dolgi.msk.ru/account/1404283689/", 1404283689)</f>
        <v>1404283689</v>
      </c>
      <c r="D10719">
        <v>-11657.63</v>
      </c>
    </row>
    <row r="10720" spans="1:4" hidden="1" x14ac:dyDescent="0.25">
      <c r="A10720" t="s">
        <v>702</v>
      </c>
      <c r="B10720" t="s">
        <v>205</v>
      </c>
      <c r="C10720" s="2">
        <f>HYPERLINK("https://sao.dolgi.msk.ru/account/1404285502/", 1404285502)</f>
        <v>1404285502</v>
      </c>
      <c r="D10720">
        <v>-8804.4699999999993</v>
      </c>
    </row>
    <row r="10721" spans="1:4" hidden="1" x14ac:dyDescent="0.25">
      <c r="A10721" t="s">
        <v>702</v>
      </c>
      <c r="B10721" t="s">
        <v>206</v>
      </c>
      <c r="C10721" s="2">
        <f>HYPERLINK("https://sao.dolgi.msk.ru/account/1404283742/", 1404283742)</f>
        <v>1404283742</v>
      </c>
      <c r="D10721">
        <v>0</v>
      </c>
    </row>
    <row r="10722" spans="1:4" x14ac:dyDescent="0.25">
      <c r="A10722" t="s">
        <v>702</v>
      </c>
      <c r="B10722" t="s">
        <v>207</v>
      </c>
      <c r="C10722" s="2">
        <f>HYPERLINK("https://sao.dolgi.msk.ru/account/1404283013/", 1404283013)</f>
        <v>1404283013</v>
      </c>
      <c r="D10722">
        <v>33376.129999999997</v>
      </c>
    </row>
    <row r="10723" spans="1:4" hidden="1" x14ac:dyDescent="0.25">
      <c r="A10723" t="s">
        <v>702</v>
      </c>
      <c r="B10723" t="s">
        <v>208</v>
      </c>
      <c r="C10723" s="2">
        <f>HYPERLINK("https://sao.dolgi.msk.ru/account/1404284745/", 1404284745)</f>
        <v>1404284745</v>
      </c>
      <c r="D10723">
        <v>-3583.93</v>
      </c>
    </row>
    <row r="10724" spans="1:4" hidden="1" x14ac:dyDescent="0.25">
      <c r="A10724" t="s">
        <v>702</v>
      </c>
      <c r="B10724" t="s">
        <v>209</v>
      </c>
      <c r="C10724" s="2">
        <f>HYPERLINK("https://sao.dolgi.msk.ru/account/1404285529/", 1404285529)</f>
        <v>1404285529</v>
      </c>
      <c r="D10724">
        <v>0</v>
      </c>
    </row>
    <row r="10725" spans="1:4" x14ac:dyDescent="0.25">
      <c r="A10725" t="s">
        <v>702</v>
      </c>
      <c r="B10725" t="s">
        <v>210</v>
      </c>
      <c r="C10725" s="2">
        <f>HYPERLINK("https://sao.dolgi.msk.ru/account/1404283881/", 1404283881)</f>
        <v>1404283881</v>
      </c>
      <c r="D10725">
        <v>12838.16</v>
      </c>
    </row>
    <row r="10726" spans="1:4" hidden="1" x14ac:dyDescent="0.25">
      <c r="A10726" t="s">
        <v>702</v>
      </c>
      <c r="B10726" t="s">
        <v>211</v>
      </c>
      <c r="C10726" s="2">
        <f>HYPERLINK("https://sao.dolgi.msk.ru/account/1404285537/", 1404285537)</f>
        <v>1404285537</v>
      </c>
      <c r="D10726">
        <v>0</v>
      </c>
    </row>
    <row r="10727" spans="1:4" hidden="1" x14ac:dyDescent="0.25">
      <c r="A10727" t="s">
        <v>702</v>
      </c>
      <c r="B10727" t="s">
        <v>212</v>
      </c>
      <c r="C10727" s="2">
        <f>HYPERLINK("https://sao.dolgi.msk.ru/account/1404284657/", 1404284657)</f>
        <v>1404284657</v>
      </c>
      <c r="D10727">
        <v>0</v>
      </c>
    </row>
    <row r="10728" spans="1:4" x14ac:dyDescent="0.25">
      <c r="A10728" t="s">
        <v>702</v>
      </c>
      <c r="B10728" t="s">
        <v>213</v>
      </c>
      <c r="C10728" s="2">
        <f>HYPERLINK("https://sao.dolgi.msk.ru/account/1404285078/", 1404285078)</f>
        <v>1404285078</v>
      </c>
      <c r="D10728">
        <v>30462.71</v>
      </c>
    </row>
    <row r="10729" spans="1:4" hidden="1" x14ac:dyDescent="0.25">
      <c r="A10729" t="s">
        <v>702</v>
      </c>
      <c r="B10729" t="s">
        <v>214</v>
      </c>
      <c r="C10729" s="2">
        <f>HYPERLINK("https://sao.dolgi.msk.ru/account/1404285975/", 1404285975)</f>
        <v>1404285975</v>
      </c>
      <c r="D10729">
        <v>0</v>
      </c>
    </row>
    <row r="10730" spans="1:4" hidden="1" x14ac:dyDescent="0.25">
      <c r="A10730" t="s">
        <v>702</v>
      </c>
      <c r="B10730" t="s">
        <v>215</v>
      </c>
      <c r="C10730" s="2">
        <f>HYPERLINK("https://sao.dolgi.msk.ru/account/1404283793/", 1404283793)</f>
        <v>1404283793</v>
      </c>
      <c r="D10730">
        <v>0</v>
      </c>
    </row>
    <row r="10731" spans="1:4" hidden="1" x14ac:dyDescent="0.25">
      <c r="A10731" t="s">
        <v>702</v>
      </c>
      <c r="B10731" t="s">
        <v>216</v>
      </c>
      <c r="C10731" s="2">
        <f>HYPERLINK("https://sao.dolgi.msk.ru/account/1404284702/", 1404284702)</f>
        <v>1404284702</v>
      </c>
      <c r="D10731">
        <v>-7376.05</v>
      </c>
    </row>
    <row r="10732" spans="1:4" hidden="1" x14ac:dyDescent="0.25">
      <c r="A10732" t="s">
        <v>702</v>
      </c>
      <c r="B10732" t="s">
        <v>217</v>
      </c>
      <c r="C10732" s="2">
        <f>HYPERLINK("https://sao.dolgi.msk.ru/account/1404284382/", 1404284382)</f>
        <v>1404284382</v>
      </c>
      <c r="D10732">
        <v>-9039.73</v>
      </c>
    </row>
    <row r="10733" spans="1:4" hidden="1" x14ac:dyDescent="0.25">
      <c r="A10733" t="s">
        <v>702</v>
      </c>
      <c r="B10733" t="s">
        <v>218</v>
      </c>
      <c r="C10733" s="2">
        <f>HYPERLINK("https://sao.dolgi.msk.ru/account/1404285086/", 1404285086)</f>
        <v>1404285086</v>
      </c>
      <c r="D10733">
        <v>-2405.4</v>
      </c>
    </row>
    <row r="10734" spans="1:4" hidden="1" x14ac:dyDescent="0.25">
      <c r="A10734" t="s">
        <v>702</v>
      </c>
      <c r="B10734" t="s">
        <v>219</v>
      </c>
      <c r="C10734" s="2">
        <f>HYPERLINK("https://sao.dolgi.msk.ru/account/1404283814/", 1404283814)</f>
        <v>1404283814</v>
      </c>
      <c r="D10734">
        <v>-8198.67</v>
      </c>
    </row>
    <row r="10735" spans="1:4" hidden="1" x14ac:dyDescent="0.25">
      <c r="A10735" t="s">
        <v>702</v>
      </c>
      <c r="B10735" t="s">
        <v>220</v>
      </c>
      <c r="C10735" s="2">
        <f>HYPERLINK("https://sao.dolgi.msk.ru/account/1404285094/", 1404285094)</f>
        <v>1404285094</v>
      </c>
      <c r="D10735">
        <v>-7513.08</v>
      </c>
    </row>
    <row r="10736" spans="1:4" hidden="1" x14ac:dyDescent="0.25">
      <c r="A10736" t="s">
        <v>702</v>
      </c>
      <c r="B10736" t="s">
        <v>221</v>
      </c>
      <c r="C10736" s="2">
        <f>HYPERLINK("https://sao.dolgi.msk.ru/account/1404283419/", 1404283419)</f>
        <v>1404283419</v>
      </c>
      <c r="D10736">
        <v>-7718.45</v>
      </c>
    </row>
    <row r="10737" spans="1:4" hidden="1" x14ac:dyDescent="0.25">
      <c r="A10737" t="s">
        <v>702</v>
      </c>
      <c r="B10737" t="s">
        <v>222</v>
      </c>
      <c r="C10737" s="2">
        <f>HYPERLINK("https://sao.dolgi.msk.ru/account/1404285983/", 1404285983)</f>
        <v>1404285983</v>
      </c>
      <c r="D10737">
        <v>-2855.4</v>
      </c>
    </row>
    <row r="10738" spans="1:4" hidden="1" x14ac:dyDescent="0.25">
      <c r="A10738" t="s">
        <v>702</v>
      </c>
      <c r="B10738" t="s">
        <v>223</v>
      </c>
      <c r="C10738" s="2">
        <f>HYPERLINK("https://sao.dolgi.msk.ru/account/1404283427/", 1404283427)</f>
        <v>1404283427</v>
      </c>
      <c r="D10738">
        <v>-5936.29</v>
      </c>
    </row>
    <row r="10739" spans="1:4" hidden="1" x14ac:dyDescent="0.25">
      <c r="A10739" t="s">
        <v>702</v>
      </c>
      <c r="B10739" t="s">
        <v>224</v>
      </c>
      <c r="C10739" s="2">
        <f>HYPERLINK("https://sao.dolgi.msk.ru/account/1404283435/", 1404283435)</f>
        <v>1404283435</v>
      </c>
      <c r="D10739">
        <v>0</v>
      </c>
    </row>
    <row r="10740" spans="1:4" hidden="1" x14ac:dyDescent="0.25">
      <c r="A10740" t="s">
        <v>702</v>
      </c>
      <c r="B10740" t="s">
        <v>225</v>
      </c>
      <c r="C10740" s="2">
        <f>HYPERLINK("https://sao.dolgi.msk.ru/account/1404284446/", 1404284446)</f>
        <v>1404284446</v>
      </c>
      <c r="D10740">
        <v>0</v>
      </c>
    </row>
    <row r="10741" spans="1:4" hidden="1" x14ac:dyDescent="0.25">
      <c r="A10741" t="s">
        <v>702</v>
      </c>
      <c r="B10741" t="s">
        <v>226</v>
      </c>
      <c r="C10741" s="2">
        <f>HYPERLINK("https://sao.dolgi.msk.ru/account/1404284454/", 1404284454)</f>
        <v>1404284454</v>
      </c>
      <c r="D10741">
        <v>-3591.25</v>
      </c>
    </row>
    <row r="10742" spans="1:4" hidden="1" x14ac:dyDescent="0.25">
      <c r="A10742" t="s">
        <v>702</v>
      </c>
      <c r="B10742" t="s">
        <v>227</v>
      </c>
      <c r="C10742" s="2">
        <f>HYPERLINK("https://sao.dolgi.msk.ru/account/1404285369/", 1404285369)</f>
        <v>1404285369</v>
      </c>
      <c r="D10742">
        <v>0</v>
      </c>
    </row>
    <row r="10743" spans="1:4" hidden="1" x14ac:dyDescent="0.25">
      <c r="A10743" t="s">
        <v>702</v>
      </c>
      <c r="B10743" t="s">
        <v>228</v>
      </c>
      <c r="C10743" s="2">
        <f>HYPERLINK("https://sao.dolgi.msk.ru/account/1404283603/", 1404283603)</f>
        <v>1404283603</v>
      </c>
      <c r="D10743">
        <v>-7643.25</v>
      </c>
    </row>
    <row r="10744" spans="1:4" hidden="1" x14ac:dyDescent="0.25">
      <c r="A10744" t="s">
        <v>702</v>
      </c>
      <c r="B10744" t="s">
        <v>229</v>
      </c>
      <c r="C10744" s="2">
        <f>HYPERLINK("https://sao.dolgi.msk.ru/account/1404283224/", 1404283224)</f>
        <v>1404283224</v>
      </c>
      <c r="D10744">
        <v>0</v>
      </c>
    </row>
    <row r="10745" spans="1:4" x14ac:dyDescent="0.25">
      <c r="A10745" t="s">
        <v>702</v>
      </c>
      <c r="B10745" t="s">
        <v>230</v>
      </c>
      <c r="C10745" s="2">
        <f>HYPERLINK("https://sao.dolgi.msk.ru/account/1404284868/", 1404284868)</f>
        <v>1404284868</v>
      </c>
      <c r="D10745">
        <v>28677.82</v>
      </c>
    </row>
    <row r="10746" spans="1:4" x14ac:dyDescent="0.25">
      <c r="A10746" t="s">
        <v>702</v>
      </c>
      <c r="B10746" t="s">
        <v>231</v>
      </c>
      <c r="C10746" s="2">
        <f>HYPERLINK("https://sao.dolgi.msk.ru/account/1404284876/", 1404284876)</f>
        <v>1404284876</v>
      </c>
      <c r="D10746">
        <v>24272.89</v>
      </c>
    </row>
    <row r="10747" spans="1:4" hidden="1" x14ac:dyDescent="0.25">
      <c r="A10747" t="s">
        <v>702</v>
      </c>
      <c r="B10747" t="s">
        <v>232</v>
      </c>
      <c r="C10747" s="2">
        <f>HYPERLINK("https://sao.dolgi.msk.ru/account/1404284884/", 1404284884)</f>
        <v>1404284884</v>
      </c>
      <c r="D10747">
        <v>-10714.43</v>
      </c>
    </row>
    <row r="10748" spans="1:4" x14ac:dyDescent="0.25">
      <c r="A10748" t="s">
        <v>702</v>
      </c>
      <c r="B10748" t="s">
        <v>233</v>
      </c>
      <c r="C10748" s="2">
        <f>HYPERLINK("https://sao.dolgi.msk.ru/account/1404283611/", 1404283611)</f>
        <v>1404283611</v>
      </c>
      <c r="D10748">
        <v>1588.58</v>
      </c>
    </row>
    <row r="10749" spans="1:4" x14ac:dyDescent="0.25">
      <c r="A10749" t="s">
        <v>702</v>
      </c>
      <c r="B10749" t="s">
        <v>234</v>
      </c>
      <c r="C10749" s="2">
        <f>HYPERLINK("https://sao.dolgi.msk.ru/account/1404283398/", 1404283398)</f>
        <v>1404283398</v>
      </c>
      <c r="D10749">
        <v>168.9</v>
      </c>
    </row>
    <row r="10750" spans="1:4" hidden="1" x14ac:dyDescent="0.25">
      <c r="A10750" t="s">
        <v>702</v>
      </c>
      <c r="B10750" t="s">
        <v>235</v>
      </c>
      <c r="C10750" s="2">
        <f>HYPERLINK("https://sao.dolgi.msk.ru/account/1404285377/", 1404285377)</f>
        <v>1404285377</v>
      </c>
      <c r="D10750">
        <v>-6028.39</v>
      </c>
    </row>
    <row r="10751" spans="1:4" hidden="1" x14ac:dyDescent="0.25">
      <c r="A10751" t="s">
        <v>702</v>
      </c>
      <c r="B10751" t="s">
        <v>239</v>
      </c>
      <c r="C10751" s="2">
        <f>HYPERLINK("https://sao.dolgi.msk.ru/account/1404284892/", 1404284892)</f>
        <v>1404284892</v>
      </c>
      <c r="D10751">
        <v>0</v>
      </c>
    </row>
    <row r="10752" spans="1:4" hidden="1" x14ac:dyDescent="0.25">
      <c r="A10752" t="s">
        <v>702</v>
      </c>
      <c r="B10752" t="s">
        <v>240</v>
      </c>
      <c r="C10752" s="2">
        <f>HYPERLINK("https://sao.dolgi.msk.ru/account/1404284905/", 1404284905)</f>
        <v>1404284905</v>
      </c>
      <c r="D10752">
        <v>-6931.42</v>
      </c>
    </row>
    <row r="10753" spans="1:4" hidden="1" x14ac:dyDescent="0.25">
      <c r="A10753" t="s">
        <v>702</v>
      </c>
      <c r="B10753" t="s">
        <v>241</v>
      </c>
      <c r="C10753" s="2">
        <f>HYPERLINK("https://sao.dolgi.msk.ru/account/1404285203/", 1404285203)</f>
        <v>1404285203</v>
      </c>
      <c r="D10753">
        <v>0</v>
      </c>
    </row>
    <row r="10754" spans="1:4" x14ac:dyDescent="0.25">
      <c r="A10754" t="s">
        <v>702</v>
      </c>
      <c r="B10754" t="s">
        <v>242</v>
      </c>
      <c r="C10754" s="2">
        <f>HYPERLINK("https://sao.dolgi.msk.ru/account/1404285211/", 1404285211)</f>
        <v>1404285211</v>
      </c>
      <c r="D10754">
        <v>10411.950000000001</v>
      </c>
    </row>
    <row r="10755" spans="1:4" hidden="1" x14ac:dyDescent="0.25">
      <c r="A10755" t="s">
        <v>702</v>
      </c>
      <c r="B10755" t="s">
        <v>243</v>
      </c>
      <c r="C10755" s="2">
        <f>HYPERLINK("https://sao.dolgi.msk.ru/account/1404283558/", 1404283558)</f>
        <v>1404283558</v>
      </c>
      <c r="D10755">
        <v>-5428.42</v>
      </c>
    </row>
    <row r="10756" spans="1:4" hidden="1" x14ac:dyDescent="0.25">
      <c r="A10756" t="s">
        <v>702</v>
      </c>
      <c r="B10756" t="s">
        <v>244</v>
      </c>
      <c r="C10756" s="2">
        <f>HYPERLINK("https://sao.dolgi.msk.ru/account/1404283005/", 1404283005)</f>
        <v>1404283005</v>
      </c>
      <c r="D10756">
        <v>-6356.46</v>
      </c>
    </row>
    <row r="10757" spans="1:4" hidden="1" x14ac:dyDescent="0.25">
      <c r="A10757" t="s">
        <v>702</v>
      </c>
      <c r="B10757" t="s">
        <v>245</v>
      </c>
      <c r="C10757" s="2">
        <f>HYPERLINK("https://sao.dolgi.msk.ru/account/1404284817/", 1404284817)</f>
        <v>1404284817</v>
      </c>
      <c r="D10757">
        <v>-5146.53</v>
      </c>
    </row>
    <row r="10758" spans="1:4" hidden="1" x14ac:dyDescent="0.25">
      <c r="A10758" t="s">
        <v>702</v>
      </c>
      <c r="B10758" t="s">
        <v>246</v>
      </c>
      <c r="C10758" s="2">
        <f>HYPERLINK("https://sao.dolgi.msk.ru/account/1404282715/", 1404282715)</f>
        <v>1404282715</v>
      </c>
      <c r="D10758">
        <v>0</v>
      </c>
    </row>
    <row r="10759" spans="1:4" hidden="1" x14ac:dyDescent="0.25">
      <c r="A10759" t="s">
        <v>702</v>
      </c>
      <c r="B10759" t="s">
        <v>247</v>
      </c>
      <c r="C10759" s="2">
        <f>HYPERLINK("https://sao.dolgi.msk.ru/account/1404283179/", 1404283179)</f>
        <v>1404283179</v>
      </c>
      <c r="D10759">
        <v>0</v>
      </c>
    </row>
    <row r="10760" spans="1:4" hidden="1" x14ac:dyDescent="0.25">
      <c r="A10760" t="s">
        <v>702</v>
      </c>
      <c r="B10760" t="s">
        <v>248</v>
      </c>
      <c r="C10760" s="2">
        <f>HYPERLINK("https://sao.dolgi.msk.ru/account/1404283355/", 1404283355)</f>
        <v>1404283355</v>
      </c>
      <c r="D10760">
        <v>-10242.290000000001</v>
      </c>
    </row>
    <row r="10761" spans="1:4" hidden="1" x14ac:dyDescent="0.25">
      <c r="A10761" t="s">
        <v>702</v>
      </c>
      <c r="B10761" t="s">
        <v>249</v>
      </c>
      <c r="C10761" s="2">
        <f>HYPERLINK("https://sao.dolgi.msk.ru/account/1404283187/", 1404283187)</f>
        <v>1404283187</v>
      </c>
      <c r="D10761">
        <v>-4478.41</v>
      </c>
    </row>
    <row r="10762" spans="1:4" x14ac:dyDescent="0.25">
      <c r="A10762" t="s">
        <v>702</v>
      </c>
      <c r="B10762" t="s">
        <v>250</v>
      </c>
      <c r="C10762" s="2">
        <f>HYPERLINK("https://sao.dolgi.msk.ru/account/1404283099/", 1404283099)</f>
        <v>1404283099</v>
      </c>
      <c r="D10762">
        <v>78327.399999999994</v>
      </c>
    </row>
    <row r="10763" spans="1:4" hidden="1" x14ac:dyDescent="0.25">
      <c r="A10763" t="s">
        <v>702</v>
      </c>
      <c r="B10763" t="s">
        <v>251</v>
      </c>
      <c r="C10763" s="2">
        <f>HYPERLINK("https://sao.dolgi.msk.ru/account/1404285246/", 1404285246)</f>
        <v>1404285246</v>
      </c>
      <c r="D10763">
        <v>-7278.14</v>
      </c>
    </row>
    <row r="10764" spans="1:4" x14ac:dyDescent="0.25">
      <c r="A10764" t="s">
        <v>702</v>
      </c>
      <c r="B10764" t="s">
        <v>252</v>
      </c>
      <c r="C10764" s="2">
        <f>HYPERLINK("https://sao.dolgi.msk.ru/account/1404283195/", 1404283195)</f>
        <v>1404283195</v>
      </c>
      <c r="D10764">
        <v>12452.77</v>
      </c>
    </row>
    <row r="10765" spans="1:4" hidden="1" x14ac:dyDescent="0.25">
      <c r="A10765" t="s">
        <v>702</v>
      </c>
      <c r="B10765" t="s">
        <v>253</v>
      </c>
      <c r="C10765" s="2">
        <f>HYPERLINK("https://sao.dolgi.msk.ru/account/1404285692/", 1404285692)</f>
        <v>1404285692</v>
      </c>
      <c r="D10765">
        <v>-5558.19</v>
      </c>
    </row>
    <row r="10766" spans="1:4" hidden="1" x14ac:dyDescent="0.25">
      <c r="A10766" t="s">
        <v>702</v>
      </c>
      <c r="B10766" t="s">
        <v>254</v>
      </c>
      <c r="C10766" s="2">
        <f>HYPERLINK("https://sao.dolgi.msk.ru/account/1404283208/", 1404283208)</f>
        <v>1404283208</v>
      </c>
      <c r="D10766">
        <v>-6027.79</v>
      </c>
    </row>
    <row r="10767" spans="1:4" hidden="1" x14ac:dyDescent="0.25">
      <c r="A10767" t="s">
        <v>702</v>
      </c>
      <c r="B10767" t="s">
        <v>255</v>
      </c>
      <c r="C10767" s="2">
        <f>HYPERLINK("https://sao.dolgi.msk.ru/account/1404285705/", 1404285705)</f>
        <v>1404285705</v>
      </c>
      <c r="D10767">
        <v>-8672.39</v>
      </c>
    </row>
    <row r="10768" spans="1:4" hidden="1" x14ac:dyDescent="0.25">
      <c r="A10768" t="s">
        <v>702</v>
      </c>
      <c r="B10768" t="s">
        <v>256</v>
      </c>
      <c r="C10768" s="2">
        <f>HYPERLINK("https://sao.dolgi.msk.ru/account/1404284075/", 1404284075)</f>
        <v>1404284075</v>
      </c>
      <c r="D10768">
        <v>-7218.3</v>
      </c>
    </row>
    <row r="10769" spans="1:4" hidden="1" x14ac:dyDescent="0.25">
      <c r="A10769" t="s">
        <v>702</v>
      </c>
      <c r="B10769" t="s">
        <v>257</v>
      </c>
      <c r="C10769" s="2">
        <f>HYPERLINK("https://sao.dolgi.msk.ru/account/1404282723/", 1404282723)</f>
        <v>1404282723</v>
      </c>
      <c r="D10769">
        <v>-4489.37</v>
      </c>
    </row>
    <row r="10770" spans="1:4" hidden="1" x14ac:dyDescent="0.25">
      <c r="A10770" t="s">
        <v>702</v>
      </c>
      <c r="B10770" t="s">
        <v>258</v>
      </c>
      <c r="C10770" s="2">
        <f>HYPERLINK("https://sao.dolgi.msk.ru/account/1404282731/", 1404282731)</f>
        <v>1404282731</v>
      </c>
      <c r="D10770">
        <v>0</v>
      </c>
    </row>
    <row r="10771" spans="1:4" hidden="1" x14ac:dyDescent="0.25">
      <c r="A10771" t="s">
        <v>702</v>
      </c>
      <c r="B10771" t="s">
        <v>259</v>
      </c>
      <c r="C10771" s="2">
        <f>HYPERLINK("https://sao.dolgi.msk.ru/account/1404282651/", 1404282651)</f>
        <v>1404282651</v>
      </c>
      <c r="D10771">
        <v>-6824.17</v>
      </c>
    </row>
    <row r="10772" spans="1:4" hidden="1" x14ac:dyDescent="0.25">
      <c r="A10772" t="s">
        <v>702</v>
      </c>
      <c r="B10772" t="s">
        <v>260</v>
      </c>
      <c r="C10772" s="2">
        <f>HYPERLINK("https://sao.dolgi.msk.ru/account/1404285262/", 1404285262)</f>
        <v>1404285262</v>
      </c>
      <c r="D10772">
        <v>0</v>
      </c>
    </row>
    <row r="10773" spans="1:4" hidden="1" x14ac:dyDescent="0.25">
      <c r="A10773" t="s">
        <v>702</v>
      </c>
      <c r="B10773" t="s">
        <v>261</v>
      </c>
      <c r="C10773" s="2">
        <f>HYPERLINK("https://sao.dolgi.msk.ru/account/1404282678/", 1404282678)</f>
        <v>1404282678</v>
      </c>
      <c r="D10773">
        <v>0</v>
      </c>
    </row>
    <row r="10774" spans="1:4" hidden="1" x14ac:dyDescent="0.25">
      <c r="A10774" t="s">
        <v>702</v>
      </c>
      <c r="B10774" t="s">
        <v>262</v>
      </c>
      <c r="C10774" s="2">
        <f>HYPERLINK("https://sao.dolgi.msk.ru/account/1404283101/", 1404283101)</f>
        <v>1404283101</v>
      </c>
      <c r="D10774">
        <v>-6096.53</v>
      </c>
    </row>
    <row r="10775" spans="1:4" hidden="1" x14ac:dyDescent="0.25">
      <c r="A10775" t="s">
        <v>702</v>
      </c>
      <c r="B10775" t="s">
        <v>263</v>
      </c>
      <c r="C10775" s="2">
        <f>HYPERLINK("https://sao.dolgi.msk.ru/account/1404283128/", 1404283128)</f>
        <v>1404283128</v>
      </c>
      <c r="D10775">
        <v>0</v>
      </c>
    </row>
    <row r="10776" spans="1:4" hidden="1" x14ac:dyDescent="0.25">
      <c r="A10776" t="s">
        <v>702</v>
      </c>
      <c r="B10776" t="s">
        <v>264</v>
      </c>
      <c r="C10776" s="2">
        <f>HYPERLINK("https://sao.dolgi.msk.ru/account/1404285625/", 1404285625)</f>
        <v>1404285625</v>
      </c>
      <c r="D10776">
        <v>0</v>
      </c>
    </row>
    <row r="10777" spans="1:4" hidden="1" x14ac:dyDescent="0.25">
      <c r="A10777" t="s">
        <v>702</v>
      </c>
      <c r="B10777" t="s">
        <v>265</v>
      </c>
      <c r="C10777" s="2">
        <f>HYPERLINK("https://sao.dolgi.msk.ru/account/1404283902/", 1404283902)</f>
        <v>1404283902</v>
      </c>
      <c r="D10777">
        <v>-5830.89</v>
      </c>
    </row>
    <row r="10778" spans="1:4" x14ac:dyDescent="0.25">
      <c r="A10778" t="s">
        <v>702</v>
      </c>
      <c r="B10778" t="s">
        <v>266</v>
      </c>
      <c r="C10778" s="2">
        <f>HYPERLINK("https://sao.dolgi.msk.ru/account/1404283494/", 1404283494)</f>
        <v>1404283494</v>
      </c>
      <c r="D10778">
        <v>12181.17</v>
      </c>
    </row>
    <row r="10779" spans="1:4" x14ac:dyDescent="0.25">
      <c r="A10779" t="s">
        <v>702</v>
      </c>
      <c r="B10779" t="s">
        <v>267</v>
      </c>
      <c r="C10779" s="2">
        <f>HYPERLINK("https://sao.dolgi.msk.ru/account/1404283822/", 1404283822)</f>
        <v>1404283822</v>
      </c>
      <c r="D10779">
        <v>6010.25</v>
      </c>
    </row>
    <row r="10780" spans="1:4" x14ac:dyDescent="0.25">
      <c r="A10780" t="s">
        <v>702</v>
      </c>
      <c r="B10780" t="s">
        <v>267</v>
      </c>
      <c r="C10780" s="2">
        <f>HYPERLINK("https://sao.dolgi.msk.ru/account/1404284534/", 1404284534)</f>
        <v>1404284534</v>
      </c>
      <c r="D10780">
        <v>2849.29</v>
      </c>
    </row>
    <row r="10781" spans="1:4" hidden="1" x14ac:dyDescent="0.25">
      <c r="A10781" t="s">
        <v>702</v>
      </c>
      <c r="B10781" t="s">
        <v>268</v>
      </c>
      <c r="C10781" s="2">
        <f>HYPERLINK("https://sao.dolgi.msk.ru/account/1404283136/", 1404283136)</f>
        <v>1404283136</v>
      </c>
      <c r="D10781">
        <v>0</v>
      </c>
    </row>
    <row r="10782" spans="1:4" hidden="1" x14ac:dyDescent="0.25">
      <c r="A10782" t="s">
        <v>702</v>
      </c>
      <c r="B10782" t="s">
        <v>269</v>
      </c>
      <c r="C10782" s="2">
        <f>HYPERLINK("https://sao.dolgi.msk.ru/account/1404283662/", 1404283662)</f>
        <v>1404283662</v>
      </c>
      <c r="D10782">
        <v>-4870.8999999999996</v>
      </c>
    </row>
    <row r="10783" spans="1:4" hidden="1" x14ac:dyDescent="0.25">
      <c r="A10783" t="s">
        <v>702</v>
      </c>
      <c r="B10783" t="s">
        <v>270</v>
      </c>
      <c r="C10783" s="2">
        <f>HYPERLINK("https://sao.dolgi.msk.ru/account/1404284761/", 1404284761)</f>
        <v>1404284761</v>
      </c>
      <c r="D10783">
        <v>-6562.1</v>
      </c>
    </row>
    <row r="10784" spans="1:4" hidden="1" x14ac:dyDescent="0.25">
      <c r="A10784" t="s">
        <v>702</v>
      </c>
      <c r="B10784" t="s">
        <v>271</v>
      </c>
      <c r="C10784" s="2">
        <f>HYPERLINK("https://sao.dolgi.msk.ru/account/1404282686/", 1404282686)</f>
        <v>1404282686</v>
      </c>
      <c r="D10784">
        <v>-6145.78</v>
      </c>
    </row>
    <row r="10785" spans="1:4" hidden="1" x14ac:dyDescent="0.25">
      <c r="A10785" t="s">
        <v>702</v>
      </c>
      <c r="B10785" t="s">
        <v>272</v>
      </c>
      <c r="C10785" s="2">
        <f>HYPERLINK("https://sao.dolgi.msk.ru/account/1404285596/", 1404285596)</f>
        <v>1404285596</v>
      </c>
      <c r="D10785">
        <v>-7782.86</v>
      </c>
    </row>
    <row r="10786" spans="1:4" x14ac:dyDescent="0.25">
      <c r="A10786" t="s">
        <v>702</v>
      </c>
      <c r="B10786" t="s">
        <v>273</v>
      </c>
      <c r="C10786" s="2">
        <f>HYPERLINK("https://sao.dolgi.msk.ru/account/1404283486/", 1404283486)</f>
        <v>1404283486</v>
      </c>
      <c r="D10786">
        <v>5872.12</v>
      </c>
    </row>
    <row r="10787" spans="1:4" hidden="1" x14ac:dyDescent="0.25">
      <c r="A10787" t="s">
        <v>702</v>
      </c>
      <c r="B10787" t="s">
        <v>274</v>
      </c>
      <c r="C10787" s="2">
        <f>HYPERLINK("https://sao.dolgi.msk.ru/account/1404283072/", 1404283072)</f>
        <v>1404283072</v>
      </c>
      <c r="D10787">
        <v>-4669.46</v>
      </c>
    </row>
    <row r="10788" spans="1:4" hidden="1" x14ac:dyDescent="0.25">
      <c r="A10788" t="s">
        <v>702</v>
      </c>
      <c r="B10788" t="s">
        <v>275</v>
      </c>
      <c r="C10788" s="2">
        <f>HYPERLINK("https://sao.dolgi.msk.ru/account/1404283873/", 1404283873)</f>
        <v>1404283873</v>
      </c>
      <c r="D10788">
        <v>-9548.98</v>
      </c>
    </row>
    <row r="10789" spans="1:4" hidden="1" x14ac:dyDescent="0.25">
      <c r="A10789" t="s">
        <v>703</v>
      </c>
      <c r="B10789" t="s">
        <v>5</v>
      </c>
      <c r="C10789" s="2">
        <f>HYPERLINK("https://sao.dolgi.msk.ru/account/1404071205/", 1404071205)</f>
        <v>1404071205</v>
      </c>
      <c r="D10789">
        <v>-7807.48</v>
      </c>
    </row>
    <row r="10790" spans="1:4" x14ac:dyDescent="0.25">
      <c r="A10790" t="s">
        <v>703</v>
      </c>
      <c r="B10790" t="s">
        <v>6</v>
      </c>
      <c r="C10790" s="2">
        <f>HYPERLINK("https://sao.dolgi.msk.ru/account/1404071213/", 1404071213)</f>
        <v>1404071213</v>
      </c>
      <c r="D10790">
        <v>20730.55</v>
      </c>
    </row>
    <row r="10791" spans="1:4" hidden="1" x14ac:dyDescent="0.25">
      <c r="A10791" t="s">
        <v>703</v>
      </c>
      <c r="B10791" t="s">
        <v>7</v>
      </c>
      <c r="C10791" s="2">
        <f>HYPERLINK("https://sao.dolgi.msk.ru/account/1404133859/", 1404133859)</f>
        <v>1404133859</v>
      </c>
      <c r="D10791">
        <v>-14088.99</v>
      </c>
    </row>
    <row r="10792" spans="1:4" hidden="1" x14ac:dyDescent="0.25">
      <c r="A10792" t="s">
        <v>703</v>
      </c>
      <c r="B10792" t="s">
        <v>8</v>
      </c>
      <c r="C10792" s="2">
        <f>HYPERLINK("https://sao.dolgi.msk.ru/account/1404071301/", 1404071301)</f>
        <v>1404071301</v>
      </c>
      <c r="D10792">
        <v>-680.68</v>
      </c>
    </row>
    <row r="10793" spans="1:4" hidden="1" x14ac:dyDescent="0.25">
      <c r="A10793" t="s">
        <v>703</v>
      </c>
      <c r="B10793" t="s">
        <v>9</v>
      </c>
      <c r="C10793" s="2">
        <f>HYPERLINK("https://sao.dolgi.msk.ru/account/1404071328/", 1404071328)</f>
        <v>1404071328</v>
      </c>
      <c r="D10793">
        <v>-6111.45</v>
      </c>
    </row>
    <row r="10794" spans="1:4" hidden="1" x14ac:dyDescent="0.25">
      <c r="A10794" t="s">
        <v>703</v>
      </c>
      <c r="B10794" t="s">
        <v>10</v>
      </c>
      <c r="C10794" s="2">
        <f>HYPERLINK("https://sao.dolgi.msk.ru/account/1404071299/", 1404071299)</f>
        <v>1404071299</v>
      </c>
      <c r="D10794">
        <v>-6705.67</v>
      </c>
    </row>
    <row r="10795" spans="1:4" hidden="1" x14ac:dyDescent="0.25">
      <c r="A10795" t="s">
        <v>703</v>
      </c>
      <c r="B10795" t="s">
        <v>11</v>
      </c>
      <c r="C10795" s="2">
        <f>HYPERLINK("https://sao.dolgi.msk.ru/account/1404071336/", 1404071336)</f>
        <v>1404071336</v>
      </c>
      <c r="D10795">
        <v>0</v>
      </c>
    </row>
    <row r="10796" spans="1:4" hidden="1" x14ac:dyDescent="0.25">
      <c r="A10796" t="s">
        <v>703</v>
      </c>
      <c r="B10796" t="s">
        <v>12</v>
      </c>
      <c r="C10796" s="2">
        <f>HYPERLINK("https://sao.dolgi.msk.ru/account/1404071344/", 1404071344)</f>
        <v>1404071344</v>
      </c>
      <c r="D10796">
        <v>0</v>
      </c>
    </row>
    <row r="10797" spans="1:4" hidden="1" x14ac:dyDescent="0.25">
      <c r="A10797" t="s">
        <v>703</v>
      </c>
      <c r="B10797" t="s">
        <v>13</v>
      </c>
      <c r="C10797" s="2">
        <f>HYPERLINK("https://sao.dolgi.msk.ru/account/1404071352/", 1404071352)</f>
        <v>1404071352</v>
      </c>
      <c r="D10797">
        <v>-9051.69</v>
      </c>
    </row>
    <row r="10798" spans="1:4" hidden="1" x14ac:dyDescent="0.25">
      <c r="A10798" t="s">
        <v>703</v>
      </c>
      <c r="B10798" t="s">
        <v>14</v>
      </c>
      <c r="C10798" s="2">
        <f>HYPERLINK("https://sao.dolgi.msk.ru/account/1404071416/", 1404071416)</f>
        <v>1404071416</v>
      </c>
      <c r="D10798">
        <v>-7450.44</v>
      </c>
    </row>
    <row r="10799" spans="1:4" hidden="1" x14ac:dyDescent="0.25">
      <c r="A10799" t="s">
        <v>703</v>
      </c>
      <c r="B10799" t="s">
        <v>15</v>
      </c>
      <c r="C10799" s="2">
        <f>HYPERLINK("https://sao.dolgi.msk.ru/account/1404071424/", 1404071424)</f>
        <v>1404071424</v>
      </c>
      <c r="D10799">
        <v>-6878.32</v>
      </c>
    </row>
    <row r="10800" spans="1:4" hidden="1" x14ac:dyDescent="0.25">
      <c r="A10800" t="s">
        <v>703</v>
      </c>
      <c r="B10800" t="s">
        <v>16</v>
      </c>
      <c r="C10800" s="2">
        <f>HYPERLINK("https://sao.dolgi.msk.ru/account/1404071467/", 1404071467)</f>
        <v>1404071467</v>
      </c>
      <c r="D10800">
        <v>-8398.2099999999991</v>
      </c>
    </row>
    <row r="10801" spans="1:4" hidden="1" x14ac:dyDescent="0.25">
      <c r="A10801" t="s">
        <v>703</v>
      </c>
      <c r="B10801" t="s">
        <v>17</v>
      </c>
      <c r="C10801" s="2">
        <f>HYPERLINK("https://sao.dolgi.msk.ru/account/1404071475/", 1404071475)</f>
        <v>1404071475</v>
      </c>
      <c r="D10801">
        <v>-1797.03</v>
      </c>
    </row>
    <row r="10802" spans="1:4" hidden="1" x14ac:dyDescent="0.25">
      <c r="A10802" t="s">
        <v>703</v>
      </c>
      <c r="B10802" t="s">
        <v>18</v>
      </c>
      <c r="C10802" s="2">
        <f>HYPERLINK("https://sao.dolgi.msk.ru/account/1404071491/", 1404071491)</f>
        <v>1404071491</v>
      </c>
      <c r="D10802">
        <v>-801.79</v>
      </c>
    </row>
    <row r="10803" spans="1:4" hidden="1" x14ac:dyDescent="0.25">
      <c r="A10803" t="s">
        <v>703</v>
      </c>
      <c r="B10803" t="s">
        <v>19</v>
      </c>
      <c r="C10803" s="2">
        <f>HYPERLINK("https://sao.dolgi.msk.ru/account/1404071512/", 1404071512)</f>
        <v>1404071512</v>
      </c>
      <c r="D10803">
        <v>-5442.42</v>
      </c>
    </row>
    <row r="10804" spans="1:4" hidden="1" x14ac:dyDescent="0.25">
      <c r="A10804" t="s">
        <v>703</v>
      </c>
      <c r="B10804" t="s">
        <v>20</v>
      </c>
      <c r="C10804" s="2">
        <f>HYPERLINK("https://sao.dolgi.msk.ru/account/1404071547/", 1404071547)</f>
        <v>1404071547</v>
      </c>
      <c r="D10804">
        <v>-10082.450000000001</v>
      </c>
    </row>
    <row r="10805" spans="1:4" hidden="1" x14ac:dyDescent="0.25">
      <c r="A10805" t="s">
        <v>703</v>
      </c>
      <c r="B10805" t="s">
        <v>21</v>
      </c>
      <c r="C10805" s="2">
        <f>HYPERLINK("https://sao.dolgi.msk.ru/account/1404071555/", 1404071555)</f>
        <v>1404071555</v>
      </c>
      <c r="D10805">
        <v>-7505.04</v>
      </c>
    </row>
    <row r="10806" spans="1:4" hidden="1" x14ac:dyDescent="0.25">
      <c r="A10806" t="s">
        <v>703</v>
      </c>
      <c r="B10806" t="s">
        <v>22</v>
      </c>
      <c r="C10806" s="2">
        <f>HYPERLINK("https://sao.dolgi.msk.ru/account/1404071571/", 1404071571)</f>
        <v>1404071571</v>
      </c>
      <c r="D10806">
        <v>0</v>
      </c>
    </row>
    <row r="10807" spans="1:4" hidden="1" x14ac:dyDescent="0.25">
      <c r="A10807" t="s">
        <v>703</v>
      </c>
      <c r="B10807" t="s">
        <v>23</v>
      </c>
      <c r="C10807" s="2">
        <f>HYPERLINK("https://sao.dolgi.msk.ru/account/1404071598/", 1404071598)</f>
        <v>1404071598</v>
      </c>
      <c r="D10807">
        <v>-1347.05</v>
      </c>
    </row>
    <row r="10808" spans="1:4" hidden="1" x14ac:dyDescent="0.25">
      <c r="A10808" t="s">
        <v>703</v>
      </c>
      <c r="B10808" t="s">
        <v>24</v>
      </c>
      <c r="C10808" s="2">
        <f>HYPERLINK("https://sao.dolgi.msk.ru/account/1404071627/", 1404071627)</f>
        <v>1404071627</v>
      </c>
      <c r="D10808">
        <v>0</v>
      </c>
    </row>
    <row r="10809" spans="1:4" hidden="1" x14ac:dyDescent="0.25">
      <c r="A10809" t="s">
        <v>703</v>
      </c>
      <c r="B10809" t="s">
        <v>25</v>
      </c>
      <c r="C10809" s="2">
        <f>HYPERLINK("https://sao.dolgi.msk.ru/account/1404071643/", 1404071643)</f>
        <v>1404071643</v>
      </c>
      <c r="D10809">
        <v>-7716.88</v>
      </c>
    </row>
    <row r="10810" spans="1:4" hidden="1" x14ac:dyDescent="0.25">
      <c r="A10810" t="s">
        <v>703</v>
      </c>
      <c r="B10810" t="s">
        <v>26</v>
      </c>
      <c r="C10810" s="2">
        <f>HYPERLINK("https://sao.dolgi.msk.ru/account/1404071651/", 1404071651)</f>
        <v>1404071651</v>
      </c>
      <c r="D10810">
        <v>0</v>
      </c>
    </row>
    <row r="10811" spans="1:4" hidden="1" x14ac:dyDescent="0.25">
      <c r="A10811" t="s">
        <v>703</v>
      </c>
      <c r="B10811" t="s">
        <v>27</v>
      </c>
      <c r="C10811" s="2">
        <f>HYPERLINK("https://sao.dolgi.msk.ru/account/1404071686/", 1404071686)</f>
        <v>1404071686</v>
      </c>
      <c r="D10811">
        <v>-6511.24</v>
      </c>
    </row>
    <row r="10812" spans="1:4" hidden="1" x14ac:dyDescent="0.25">
      <c r="A10812" t="s">
        <v>703</v>
      </c>
      <c r="B10812" t="s">
        <v>28</v>
      </c>
      <c r="C10812" s="2">
        <f>HYPERLINK("https://sao.dolgi.msk.ru/account/1404071694/", 1404071694)</f>
        <v>1404071694</v>
      </c>
      <c r="D10812">
        <v>0</v>
      </c>
    </row>
    <row r="10813" spans="1:4" hidden="1" x14ac:dyDescent="0.25">
      <c r="A10813" t="s">
        <v>703</v>
      </c>
      <c r="B10813" t="s">
        <v>29</v>
      </c>
      <c r="C10813" s="2">
        <f>HYPERLINK("https://sao.dolgi.msk.ru/account/1404071715/", 1404071715)</f>
        <v>1404071715</v>
      </c>
      <c r="D10813">
        <v>-7123.4</v>
      </c>
    </row>
    <row r="10814" spans="1:4" hidden="1" x14ac:dyDescent="0.25">
      <c r="A10814" t="s">
        <v>703</v>
      </c>
      <c r="B10814" t="s">
        <v>30</v>
      </c>
      <c r="C10814" s="2">
        <f>HYPERLINK("https://sao.dolgi.msk.ru/account/1404071723/", 1404071723)</f>
        <v>1404071723</v>
      </c>
      <c r="D10814">
        <v>-7234.19</v>
      </c>
    </row>
    <row r="10815" spans="1:4" hidden="1" x14ac:dyDescent="0.25">
      <c r="A10815" t="s">
        <v>703</v>
      </c>
      <c r="B10815" t="s">
        <v>31</v>
      </c>
      <c r="C10815" s="2">
        <f>HYPERLINK("https://sao.dolgi.msk.ru/account/1404071731/", 1404071731)</f>
        <v>1404071731</v>
      </c>
      <c r="D10815">
        <v>-7312.12</v>
      </c>
    </row>
    <row r="10816" spans="1:4" hidden="1" x14ac:dyDescent="0.25">
      <c r="A10816" t="s">
        <v>703</v>
      </c>
      <c r="B10816" t="s">
        <v>32</v>
      </c>
      <c r="C10816" s="2">
        <f>HYPERLINK("https://sao.dolgi.msk.ru/account/1404071766/", 1404071766)</f>
        <v>1404071766</v>
      </c>
      <c r="D10816">
        <v>-5492.75</v>
      </c>
    </row>
    <row r="10817" spans="1:4" x14ac:dyDescent="0.25">
      <c r="A10817" t="s">
        <v>703</v>
      </c>
      <c r="B10817" t="s">
        <v>33</v>
      </c>
      <c r="C10817" s="2">
        <f>HYPERLINK("https://sao.dolgi.msk.ru/account/1404071782/", 1404071782)</f>
        <v>1404071782</v>
      </c>
      <c r="D10817">
        <v>14529.08</v>
      </c>
    </row>
    <row r="10818" spans="1:4" hidden="1" x14ac:dyDescent="0.25">
      <c r="A10818" t="s">
        <v>703</v>
      </c>
      <c r="B10818" t="s">
        <v>34</v>
      </c>
      <c r="C10818" s="2">
        <f>HYPERLINK("https://sao.dolgi.msk.ru/account/1404071838/", 1404071838)</f>
        <v>1404071838</v>
      </c>
      <c r="D10818">
        <v>-1006.14</v>
      </c>
    </row>
    <row r="10819" spans="1:4" hidden="1" x14ac:dyDescent="0.25">
      <c r="A10819" t="s">
        <v>703</v>
      </c>
      <c r="B10819" t="s">
        <v>35</v>
      </c>
      <c r="C10819" s="2">
        <f>HYPERLINK("https://sao.dolgi.msk.ru/account/1404071854/", 1404071854)</f>
        <v>1404071854</v>
      </c>
      <c r="D10819">
        <v>-9245.31</v>
      </c>
    </row>
    <row r="10820" spans="1:4" hidden="1" x14ac:dyDescent="0.25">
      <c r="A10820" t="s">
        <v>703</v>
      </c>
      <c r="B10820" t="s">
        <v>36</v>
      </c>
      <c r="C10820" s="2">
        <f>HYPERLINK("https://sao.dolgi.msk.ru/account/1404071918/", 1404071918)</f>
        <v>1404071918</v>
      </c>
      <c r="D10820">
        <v>-4466.47</v>
      </c>
    </row>
    <row r="10821" spans="1:4" hidden="1" x14ac:dyDescent="0.25">
      <c r="A10821" t="s">
        <v>703</v>
      </c>
      <c r="B10821" t="s">
        <v>37</v>
      </c>
      <c r="C10821" s="2">
        <f>HYPERLINK("https://sao.dolgi.msk.ru/account/1404071934/", 1404071934)</f>
        <v>1404071934</v>
      </c>
      <c r="D10821">
        <v>-362.96</v>
      </c>
    </row>
    <row r="10822" spans="1:4" hidden="1" x14ac:dyDescent="0.25">
      <c r="A10822" t="s">
        <v>703</v>
      </c>
      <c r="B10822" t="s">
        <v>38</v>
      </c>
      <c r="C10822" s="2">
        <f>HYPERLINK("https://sao.dolgi.msk.ru/account/1404071969/", 1404071969)</f>
        <v>1404071969</v>
      </c>
      <c r="D10822">
        <v>-7108.74</v>
      </c>
    </row>
    <row r="10823" spans="1:4" hidden="1" x14ac:dyDescent="0.25">
      <c r="A10823" t="s">
        <v>703</v>
      </c>
      <c r="B10823" t="s">
        <v>39</v>
      </c>
      <c r="C10823" s="2">
        <f>HYPERLINK("https://sao.dolgi.msk.ru/account/1404071977/", 1404071977)</f>
        <v>1404071977</v>
      </c>
      <c r="D10823">
        <v>-6447.24</v>
      </c>
    </row>
    <row r="10824" spans="1:4" hidden="1" x14ac:dyDescent="0.25">
      <c r="A10824" t="s">
        <v>703</v>
      </c>
      <c r="B10824" t="s">
        <v>40</v>
      </c>
      <c r="C10824" s="2">
        <f>HYPERLINK("https://sao.dolgi.msk.ru/account/1404071993/", 1404071993)</f>
        <v>1404071993</v>
      </c>
      <c r="D10824">
        <v>0</v>
      </c>
    </row>
    <row r="10825" spans="1:4" hidden="1" x14ac:dyDescent="0.25">
      <c r="A10825" t="s">
        <v>703</v>
      </c>
      <c r="B10825" t="s">
        <v>41</v>
      </c>
      <c r="C10825" s="2">
        <f>HYPERLINK("https://sao.dolgi.msk.ru/account/1404072005/", 1404072005)</f>
        <v>1404072005</v>
      </c>
      <c r="D10825">
        <v>-8059.54</v>
      </c>
    </row>
    <row r="10826" spans="1:4" hidden="1" x14ac:dyDescent="0.25">
      <c r="A10826" t="s">
        <v>703</v>
      </c>
      <c r="B10826" t="s">
        <v>42</v>
      </c>
      <c r="C10826" s="2">
        <f>HYPERLINK("https://sao.dolgi.msk.ru/account/1404072021/", 1404072021)</f>
        <v>1404072021</v>
      </c>
      <c r="D10826">
        <v>-7276.88</v>
      </c>
    </row>
    <row r="10827" spans="1:4" hidden="1" x14ac:dyDescent="0.25">
      <c r="A10827" t="s">
        <v>703</v>
      </c>
      <c r="B10827" t="s">
        <v>43</v>
      </c>
      <c r="C10827" s="2">
        <f>HYPERLINK("https://sao.dolgi.msk.ru/account/1404072048/", 1404072048)</f>
        <v>1404072048</v>
      </c>
      <c r="D10827">
        <v>-4898.9799999999996</v>
      </c>
    </row>
    <row r="10828" spans="1:4" hidden="1" x14ac:dyDescent="0.25">
      <c r="A10828" t="s">
        <v>703</v>
      </c>
      <c r="B10828" t="s">
        <v>44</v>
      </c>
      <c r="C10828" s="2">
        <f>HYPERLINK("https://sao.dolgi.msk.ru/account/1404072064/", 1404072064)</f>
        <v>1404072064</v>
      </c>
      <c r="D10828">
        <v>-10524.65</v>
      </c>
    </row>
    <row r="10829" spans="1:4" hidden="1" x14ac:dyDescent="0.25">
      <c r="A10829" t="s">
        <v>703</v>
      </c>
      <c r="B10829" t="s">
        <v>45</v>
      </c>
      <c r="C10829" s="2">
        <f>HYPERLINK("https://sao.dolgi.msk.ru/account/1404072101/", 1404072101)</f>
        <v>1404072101</v>
      </c>
      <c r="D10829">
        <v>-6553.54</v>
      </c>
    </row>
    <row r="10830" spans="1:4" x14ac:dyDescent="0.25">
      <c r="A10830" t="s">
        <v>703</v>
      </c>
      <c r="B10830" t="s">
        <v>46</v>
      </c>
      <c r="C10830" s="2">
        <f>HYPERLINK("https://sao.dolgi.msk.ru/account/1404072144/", 1404072144)</f>
        <v>1404072144</v>
      </c>
      <c r="D10830">
        <v>10732.48</v>
      </c>
    </row>
    <row r="10831" spans="1:4" hidden="1" x14ac:dyDescent="0.25">
      <c r="A10831" t="s">
        <v>703</v>
      </c>
      <c r="B10831" t="s">
        <v>47</v>
      </c>
      <c r="C10831" s="2">
        <f>HYPERLINK("https://sao.dolgi.msk.ru/account/1404072152/", 1404072152)</f>
        <v>1404072152</v>
      </c>
      <c r="D10831">
        <v>-502.14</v>
      </c>
    </row>
    <row r="10832" spans="1:4" hidden="1" x14ac:dyDescent="0.25">
      <c r="A10832" t="s">
        <v>703</v>
      </c>
      <c r="B10832" t="s">
        <v>48</v>
      </c>
      <c r="C10832" s="2">
        <f>HYPERLINK("https://sao.dolgi.msk.ru/account/1404072187/", 1404072187)</f>
        <v>1404072187</v>
      </c>
      <c r="D10832">
        <v>-10115.209999999999</v>
      </c>
    </row>
    <row r="10833" spans="1:4" hidden="1" x14ac:dyDescent="0.25">
      <c r="A10833" t="s">
        <v>703</v>
      </c>
      <c r="B10833" t="s">
        <v>49</v>
      </c>
      <c r="C10833" s="2">
        <f>HYPERLINK("https://sao.dolgi.msk.ru/account/1404072208/", 1404072208)</f>
        <v>1404072208</v>
      </c>
      <c r="D10833">
        <v>0</v>
      </c>
    </row>
    <row r="10834" spans="1:4" hidden="1" x14ac:dyDescent="0.25">
      <c r="A10834" t="s">
        <v>703</v>
      </c>
      <c r="B10834" t="s">
        <v>50</v>
      </c>
      <c r="C10834" s="2">
        <f>HYPERLINK("https://sao.dolgi.msk.ru/account/1404072224/", 1404072224)</f>
        <v>1404072224</v>
      </c>
      <c r="D10834">
        <v>0</v>
      </c>
    </row>
    <row r="10835" spans="1:4" hidden="1" x14ac:dyDescent="0.25">
      <c r="A10835" t="s">
        <v>703</v>
      </c>
      <c r="B10835" t="s">
        <v>51</v>
      </c>
      <c r="C10835" s="2">
        <f>HYPERLINK("https://sao.dolgi.msk.ru/account/1404072259/", 1404072259)</f>
        <v>1404072259</v>
      </c>
      <c r="D10835">
        <v>0</v>
      </c>
    </row>
    <row r="10836" spans="1:4" hidden="1" x14ac:dyDescent="0.25">
      <c r="A10836" t="s">
        <v>703</v>
      </c>
      <c r="B10836" t="s">
        <v>52</v>
      </c>
      <c r="C10836" s="2">
        <f>HYPERLINK("https://sao.dolgi.msk.ru/account/1404072267/", 1404072267)</f>
        <v>1404072267</v>
      </c>
      <c r="D10836">
        <v>-8319.9</v>
      </c>
    </row>
    <row r="10837" spans="1:4" hidden="1" x14ac:dyDescent="0.25">
      <c r="A10837" t="s">
        <v>703</v>
      </c>
      <c r="B10837" t="s">
        <v>53</v>
      </c>
      <c r="C10837" s="2">
        <f>HYPERLINK("https://sao.dolgi.msk.ru/account/1404072283/", 1404072283)</f>
        <v>1404072283</v>
      </c>
      <c r="D10837">
        <v>0</v>
      </c>
    </row>
    <row r="10838" spans="1:4" hidden="1" x14ac:dyDescent="0.25">
      <c r="A10838" t="s">
        <v>703</v>
      </c>
      <c r="B10838" t="s">
        <v>54</v>
      </c>
      <c r="C10838" s="2">
        <f>HYPERLINK("https://sao.dolgi.msk.ru/account/1404072304/", 1404072304)</f>
        <v>1404072304</v>
      </c>
      <c r="D10838">
        <v>-6674.08</v>
      </c>
    </row>
    <row r="10839" spans="1:4" hidden="1" x14ac:dyDescent="0.25">
      <c r="A10839" t="s">
        <v>703</v>
      </c>
      <c r="B10839" t="s">
        <v>55</v>
      </c>
      <c r="C10839" s="2">
        <f>HYPERLINK("https://sao.dolgi.msk.ru/account/1404072339/", 1404072339)</f>
        <v>1404072339</v>
      </c>
      <c r="D10839">
        <v>-7050.34</v>
      </c>
    </row>
    <row r="10840" spans="1:4" hidden="1" x14ac:dyDescent="0.25">
      <c r="A10840" t="s">
        <v>703</v>
      </c>
      <c r="B10840" t="s">
        <v>56</v>
      </c>
      <c r="C10840" s="2">
        <f>HYPERLINK("https://sao.dolgi.msk.ru/account/1404072355/", 1404072355)</f>
        <v>1404072355</v>
      </c>
      <c r="D10840">
        <v>-7783.01</v>
      </c>
    </row>
    <row r="10841" spans="1:4" hidden="1" x14ac:dyDescent="0.25">
      <c r="A10841" t="s">
        <v>703</v>
      </c>
      <c r="B10841" t="s">
        <v>57</v>
      </c>
      <c r="C10841" s="2">
        <f>HYPERLINK("https://sao.dolgi.msk.ru/account/1404072371/", 1404072371)</f>
        <v>1404072371</v>
      </c>
      <c r="D10841">
        <v>0</v>
      </c>
    </row>
    <row r="10842" spans="1:4" hidden="1" x14ac:dyDescent="0.25">
      <c r="A10842" t="s">
        <v>703</v>
      </c>
      <c r="B10842" t="s">
        <v>58</v>
      </c>
      <c r="C10842" s="2">
        <f>HYPERLINK("https://sao.dolgi.msk.ru/account/1404072419/", 1404072419)</f>
        <v>1404072419</v>
      </c>
      <c r="D10842">
        <v>-1253</v>
      </c>
    </row>
    <row r="10843" spans="1:4" hidden="1" x14ac:dyDescent="0.25">
      <c r="A10843" t="s">
        <v>703</v>
      </c>
      <c r="B10843" t="s">
        <v>59</v>
      </c>
      <c r="C10843" s="2">
        <f>HYPERLINK("https://sao.dolgi.msk.ru/account/1404072435/", 1404072435)</f>
        <v>1404072435</v>
      </c>
      <c r="D10843">
        <v>-5082.1499999999996</v>
      </c>
    </row>
    <row r="10844" spans="1:4" hidden="1" x14ac:dyDescent="0.25">
      <c r="A10844" t="s">
        <v>703</v>
      </c>
      <c r="B10844" t="s">
        <v>60</v>
      </c>
      <c r="C10844" s="2">
        <f>HYPERLINK("https://sao.dolgi.msk.ru/account/1404072451/", 1404072451)</f>
        <v>1404072451</v>
      </c>
      <c r="D10844">
        <v>-8243.31</v>
      </c>
    </row>
    <row r="10845" spans="1:4" x14ac:dyDescent="0.25">
      <c r="A10845" t="s">
        <v>703</v>
      </c>
      <c r="B10845" t="s">
        <v>61</v>
      </c>
      <c r="C10845" s="2">
        <f>HYPERLINK("https://sao.dolgi.msk.ru/account/1404072494/", 1404072494)</f>
        <v>1404072494</v>
      </c>
      <c r="D10845">
        <v>1107.6199999999999</v>
      </c>
    </row>
    <row r="10846" spans="1:4" hidden="1" x14ac:dyDescent="0.25">
      <c r="A10846" t="s">
        <v>703</v>
      </c>
      <c r="B10846" t="s">
        <v>62</v>
      </c>
      <c r="C10846" s="2">
        <f>HYPERLINK("https://sao.dolgi.msk.ru/account/1404072507/", 1404072507)</f>
        <v>1404072507</v>
      </c>
      <c r="D10846">
        <v>-14471.33</v>
      </c>
    </row>
    <row r="10847" spans="1:4" hidden="1" x14ac:dyDescent="0.25">
      <c r="A10847" t="s">
        <v>703</v>
      </c>
      <c r="B10847" t="s">
        <v>63</v>
      </c>
      <c r="C10847" s="2">
        <f>HYPERLINK("https://sao.dolgi.msk.ru/account/1404072531/", 1404072531)</f>
        <v>1404072531</v>
      </c>
      <c r="D10847">
        <v>-8509.61</v>
      </c>
    </row>
    <row r="10848" spans="1:4" hidden="1" x14ac:dyDescent="0.25">
      <c r="A10848" t="s">
        <v>703</v>
      </c>
      <c r="B10848" t="s">
        <v>64</v>
      </c>
      <c r="C10848" s="2">
        <f>HYPERLINK("https://sao.dolgi.msk.ru/account/1404072566/", 1404072566)</f>
        <v>1404072566</v>
      </c>
      <c r="D10848">
        <v>-11202.26</v>
      </c>
    </row>
    <row r="10849" spans="1:4" hidden="1" x14ac:dyDescent="0.25">
      <c r="A10849" t="s">
        <v>703</v>
      </c>
      <c r="B10849" t="s">
        <v>65</v>
      </c>
      <c r="C10849" s="2">
        <f>HYPERLINK("https://sao.dolgi.msk.ru/account/1404072603/", 1404072603)</f>
        <v>1404072603</v>
      </c>
      <c r="D10849">
        <v>-8531.58</v>
      </c>
    </row>
    <row r="10850" spans="1:4" hidden="1" x14ac:dyDescent="0.25">
      <c r="A10850" t="s">
        <v>703</v>
      </c>
      <c r="B10850" t="s">
        <v>66</v>
      </c>
      <c r="C10850" s="2">
        <f>HYPERLINK("https://sao.dolgi.msk.ru/account/1404072646/", 1404072646)</f>
        <v>1404072646</v>
      </c>
      <c r="D10850">
        <v>-7084.05</v>
      </c>
    </row>
    <row r="10851" spans="1:4" hidden="1" x14ac:dyDescent="0.25">
      <c r="A10851" t="s">
        <v>703</v>
      </c>
      <c r="B10851" t="s">
        <v>67</v>
      </c>
      <c r="C10851" s="2">
        <f>HYPERLINK("https://sao.dolgi.msk.ru/account/1404072654/", 1404072654)</f>
        <v>1404072654</v>
      </c>
      <c r="D10851">
        <v>-7583.23</v>
      </c>
    </row>
    <row r="10852" spans="1:4" x14ac:dyDescent="0.25">
      <c r="A10852" t="s">
        <v>703</v>
      </c>
      <c r="B10852" t="s">
        <v>68</v>
      </c>
      <c r="C10852" s="2">
        <f>HYPERLINK("https://sao.dolgi.msk.ru/account/1404171345/", 1404171345)</f>
        <v>1404171345</v>
      </c>
      <c r="D10852">
        <v>30425.79</v>
      </c>
    </row>
    <row r="10853" spans="1:4" hidden="1" x14ac:dyDescent="0.25">
      <c r="A10853" t="s">
        <v>703</v>
      </c>
      <c r="B10853" t="s">
        <v>69</v>
      </c>
      <c r="C10853" s="2">
        <f>HYPERLINK("https://sao.dolgi.msk.ru/account/1404072697/", 1404072697)</f>
        <v>1404072697</v>
      </c>
      <c r="D10853">
        <v>-7029.48</v>
      </c>
    </row>
    <row r="10854" spans="1:4" x14ac:dyDescent="0.25">
      <c r="A10854" t="s">
        <v>703</v>
      </c>
      <c r="B10854" t="s">
        <v>70</v>
      </c>
      <c r="C10854" s="2">
        <f>HYPERLINK("https://sao.dolgi.msk.ru/account/1404072734/", 1404072734)</f>
        <v>1404072734</v>
      </c>
      <c r="D10854">
        <v>3404.64</v>
      </c>
    </row>
    <row r="10855" spans="1:4" hidden="1" x14ac:dyDescent="0.25">
      <c r="A10855" t="s">
        <v>703</v>
      </c>
      <c r="B10855" t="s">
        <v>71</v>
      </c>
      <c r="C10855" s="2">
        <f>HYPERLINK("https://sao.dolgi.msk.ru/account/1404072742/", 1404072742)</f>
        <v>1404072742</v>
      </c>
      <c r="D10855">
        <v>-6519.48</v>
      </c>
    </row>
    <row r="10856" spans="1:4" hidden="1" x14ac:dyDescent="0.25">
      <c r="A10856" t="s">
        <v>703</v>
      </c>
      <c r="B10856" t="s">
        <v>72</v>
      </c>
      <c r="C10856" s="2">
        <f>HYPERLINK("https://sao.dolgi.msk.ru/account/1404072777/", 1404072777)</f>
        <v>1404072777</v>
      </c>
      <c r="D10856">
        <v>-10329.51</v>
      </c>
    </row>
    <row r="10857" spans="1:4" x14ac:dyDescent="0.25">
      <c r="A10857" t="s">
        <v>703</v>
      </c>
      <c r="B10857" t="s">
        <v>73</v>
      </c>
      <c r="C10857" s="2">
        <f>HYPERLINK("https://sao.dolgi.msk.ru/account/1404072793/", 1404072793)</f>
        <v>1404072793</v>
      </c>
      <c r="D10857">
        <v>8924.08</v>
      </c>
    </row>
    <row r="10858" spans="1:4" hidden="1" x14ac:dyDescent="0.25">
      <c r="A10858" t="s">
        <v>703</v>
      </c>
      <c r="B10858" t="s">
        <v>74</v>
      </c>
      <c r="C10858" s="2">
        <f>HYPERLINK("https://sao.dolgi.msk.ru/account/1404072806/", 1404072806)</f>
        <v>1404072806</v>
      </c>
      <c r="D10858">
        <v>-6231.19</v>
      </c>
    </row>
    <row r="10859" spans="1:4" hidden="1" x14ac:dyDescent="0.25">
      <c r="A10859" t="s">
        <v>703</v>
      </c>
      <c r="B10859" t="s">
        <v>75</v>
      </c>
      <c r="C10859" s="2">
        <f>HYPERLINK("https://sao.dolgi.msk.ru/account/1404072822/", 1404072822)</f>
        <v>1404072822</v>
      </c>
      <c r="D10859">
        <v>-7787.79</v>
      </c>
    </row>
    <row r="10860" spans="1:4" hidden="1" x14ac:dyDescent="0.25">
      <c r="A10860" t="s">
        <v>703</v>
      </c>
      <c r="B10860" t="s">
        <v>76</v>
      </c>
      <c r="C10860" s="2">
        <f>HYPERLINK("https://sao.dolgi.msk.ru/account/1404072849/", 1404072849)</f>
        <v>1404072849</v>
      </c>
      <c r="D10860">
        <v>-8531.76</v>
      </c>
    </row>
    <row r="10861" spans="1:4" hidden="1" x14ac:dyDescent="0.25">
      <c r="A10861" t="s">
        <v>703</v>
      </c>
      <c r="B10861" t="s">
        <v>77</v>
      </c>
      <c r="C10861" s="2">
        <f>HYPERLINK("https://sao.dolgi.msk.ru/account/1404072857/", 1404072857)</f>
        <v>1404072857</v>
      </c>
      <c r="D10861">
        <v>-7513.02</v>
      </c>
    </row>
    <row r="10862" spans="1:4" hidden="1" x14ac:dyDescent="0.25">
      <c r="A10862" t="s">
        <v>703</v>
      </c>
      <c r="B10862" t="s">
        <v>78</v>
      </c>
      <c r="C10862" s="2">
        <f>HYPERLINK("https://sao.dolgi.msk.ru/account/1404072865/", 1404072865)</f>
        <v>1404072865</v>
      </c>
      <c r="D10862">
        <v>-6710.58</v>
      </c>
    </row>
    <row r="10863" spans="1:4" x14ac:dyDescent="0.25">
      <c r="A10863" t="s">
        <v>703</v>
      </c>
      <c r="B10863" t="s">
        <v>79</v>
      </c>
      <c r="C10863" s="2">
        <f>HYPERLINK("https://sao.dolgi.msk.ru/account/1404072873/", 1404072873)</f>
        <v>1404072873</v>
      </c>
      <c r="D10863">
        <v>15110.44</v>
      </c>
    </row>
    <row r="10864" spans="1:4" hidden="1" x14ac:dyDescent="0.25">
      <c r="A10864" t="s">
        <v>703</v>
      </c>
      <c r="B10864" t="s">
        <v>80</v>
      </c>
      <c r="C10864" s="2">
        <f>HYPERLINK("https://sao.dolgi.msk.ru/account/1404072881/", 1404072881)</f>
        <v>1404072881</v>
      </c>
      <c r="D10864">
        <v>-7420.1</v>
      </c>
    </row>
    <row r="10865" spans="1:4" hidden="1" x14ac:dyDescent="0.25">
      <c r="A10865" t="s">
        <v>703</v>
      </c>
      <c r="B10865" t="s">
        <v>81</v>
      </c>
      <c r="C10865" s="2">
        <f>HYPERLINK("https://sao.dolgi.msk.ru/account/1404093164/", 1404093164)</f>
        <v>1404093164</v>
      </c>
      <c r="D10865">
        <v>-10997.1</v>
      </c>
    </row>
    <row r="10866" spans="1:4" hidden="1" x14ac:dyDescent="0.25">
      <c r="A10866" t="s">
        <v>703</v>
      </c>
      <c r="B10866" t="s">
        <v>82</v>
      </c>
      <c r="C10866" s="2">
        <f>HYPERLINK("https://sao.dolgi.msk.ru/account/1404072902/", 1404072902)</f>
        <v>1404072902</v>
      </c>
      <c r="D10866">
        <v>-6157.4</v>
      </c>
    </row>
    <row r="10867" spans="1:4" hidden="1" x14ac:dyDescent="0.25">
      <c r="A10867" t="s">
        <v>703</v>
      </c>
      <c r="B10867" t="s">
        <v>83</v>
      </c>
      <c r="C10867" s="2">
        <f>HYPERLINK("https://sao.dolgi.msk.ru/account/1404072929/", 1404072929)</f>
        <v>1404072929</v>
      </c>
      <c r="D10867">
        <v>-1002.44</v>
      </c>
    </row>
    <row r="10868" spans="1:4" hidden="1" x14ac:dyDescent="0.25">
      <c r="A10868" t="s">
        <v>703</v>
      </c>
      <c r="B10868" t="s">
        <v>84</v>
      </c>
      <c r="C10868" s="2">
        <f>HYPERLINK("https://sao.dolgi.msk.ru/account/1404072945/", 1404072945)</f>
        <v>1404072945</v>
      </c>
      <c r="D10868">
        <v>-7727.71</v>
      </c>
    </row>
    <row r="10869" spans="1:4" hidden="1" x14ac:dyDescent="0.25">
      <c r="A10869" t="s">
        <v>703</v>
      </c>
      <c r="B10869" t="s">
        <v>85</v>
      </c>
      <c r="C10869" s="2">
        <f>HYPERLINK("https://sao.dolgi.msk.ru/account/1404072953/", 1404072953)</f>
        <v>1404072953</v>
      </c>
      <c r="D10869">
        <v>-7763.54</v>
      </c>
    </row>
    <row r="10870" spans="1:4" hidden="1" x14ac:dyDescent="0.25">
      <c r="A10870" t="s">
        <v>703</v>
      </c>
      <c r="B10870" t="s">
        <v>86</v>
      </c>
      <c r="C10870" s="2">
        <f>HYPERLINK("https://sao.dolgi.msk.ru/account/1404072961/", 1404072961)</f>
        <v>1404072961</v>
      </c>
      <c r="D10870">
        <v>-1131.02</v>
      </c>
    </row>
    <row r="10871" spans="1:4" x14ac:dyDescent="0.25">
      <c r="A10871" t="s">
        <v>703</v>
      </c>
      <c r="B10871" t="s">
        <v>87</v>
      </c>
      <c r="C10871" s="2">
        <f>HYPERLINK("https://sao.dolgi.msk.ru/account/1404072988/", 1404072988)</f>
        <v>1404072988</v>
      </c>
      <c r="D10871">
        <v>3323.36</v>
      </c>
    </row>
    <row r="10872" spans="1:4" x14ac:dyDescent="0.25">
      <c r="A10872" t="s">
        <v>703</v>
      </c>
      <c r="B10872" t="s">
        <v>88</v>
      </c>
      <c r="C10872" s="2">
        <f>HYPERLINK("https://sao.dolgi.msk.ru/account/1404072996/", 1404072996)</f>
        <v>1404072996</v>
      </c>
      <c r="D10872">
        <v>7342.38</v>
      </c>
    </row>
    <row r="10873" spans="1:4" hidden="1" x14ac:dyDescent="0.25">
      <c r="A10873" t="s">
        <v>703</v>
      </c>
      <c r="B10873" t="s">
        <v>89</v>
      </c>
      <c r="C10873" s="2">
        <f>HYPERLINK("https://sao.dolgi.msk.ru/account/1404073008/", 1404073008)</f>
        <v>1404073008</v>
      </c>
      <c r="D10873">
        <v>-7818.9</v>
      </c>
    </row>
    <row r="10874" spans="1:4" hidden="1" x14ac:dyDescent="0.25">
      <c r="A10874" t="s">
        <v>703</v>
      </c>
      <c r="B10874" t="s">
        <v>90</v>
      </c>
      <c r="C10874" s="2">
        <f>HYPERLINK("https://sao.dolgi.msk.ru/account/1404073016/", 1404073016)</f>
        <v>1404073016</v>
      </c>
      <c r="D10874">
        <v>-5346.09</v>
      </c>
    </row>
    <row r="10875" spans="1:4" hidden="1" x14ac:dyDescent="0.25">
      <c r="A10875" t="s">
        <v>703</v>
      </c>
      <c r="B10875" t="s">
        <v>91</v>
      </c>
      <c r="C10875" s="2">
        <f>HYPERLINK("https://sao.dolgi.msk.ru/account/1404073024/", 1404073024)</f>
        <v>1404073024</v>
      </c>
      <c r="D10875">
        <v>-2796.9</v>
      </c>
    </row>
    <row r="10876" spans="1:4" hidden="1" x14ac:dyDescent="0.25">
      <c r="A10876" t="s">
        <v>703</v>
      </c>
      <c r="B10876" t="s">
        <v>92</v>
      </c>
      <c r="C10876" s="2">
        <f>HYPERLINK("https://sao.dolgi.msk.ru/account/1404073032/", 1404073032)</f>
        <v>1404073032</v>
      </c>
      <c r="D10876">
        <v>-2578.12</v>
      </c>
    </row>
    <row r="10877" spans="1:4" x14ac:dyDescent="0.25">
      <c r="A10877" t="s">
        <v>703</v>
      </c>
      <c r="B10877" t="s">
        <v>93</v>
      </c>
      <c r="C10877" s="2">
        <f>HYPERLINK("https://sao.dolgi.msk.ru/account/1404153905/", 1404153905)</f>
        <v>1404153905</v>
      </c>
      <c r="D10877">
        <v>45959.85</v>
      </c>
    </row>
    <row r="10878" spans="1:4" hidden="1" x14ac:dyDescent="0.25">
      <c r="A10878" t="s">
        <v>703</v>
      </c>
      <c r="B10878" t="s">
        <v>94</v>
      </c>
      <c r="C10878" s="2">
        <f>HYPERLINK("https://sao.dolgi.msk.ru/account/1404073059/", 1404073059)</f>
        <v>1404073059</v>
      </c>
      <c r="D10878">
        <v>-7129.98</v>
      </c>
    </row>
    <row r="10879" spans="1:4" hidden="1" x14ac:dyDescent="0.25">
      <c r="A10879" t="s">
        <v>703</v>
      </c>
      <c r="B10879" t="s">
        <v>95</v>
      </c>
      <c r="C10879" s="2">
        <f>HYPERLINK("https://sao.dolgi.msk.ru/account/1404073067/", 1404073067)</f>
        <v>1404073067</v>
      </c>
      <c r="D10879">
        <v>-722.63</v>
      </c>
    </row>
    <row r="10880" spans="1:4" x14ac:dyDescent="0.25">
      <c r="A10880" t="s">
        <v>703</v>
      </c>
      <c r="B10880" t="s">
        <v>96</v>
      </c>
      <c r="C10880" s="2">
        <f>HYPERLINK("https://sao.dolgi.msk.ru/account/1404073075/", 1404073075)</f>
        <v>1404073075</v>
      </c>
      <c r="D10880">
        <v>8393.14</v>
      </c>
    </row>
    <row r="10881" spans="1:4" hidden="1" x14ac:dyDescent="0.25">
      <c r="A10881" t="s">
        <v>703</v>
      </c>
      <c r="B10881" t="s">
        <v>97</v>
      </c>
      <c r="C10881" s="2">
        <f>HYPERLINK("https://sao.dolgi.msk.ru/account/1404073083/", 1404073083)</f>
        <v>1404073083</v>
      </c>
      <c r="D10881">
        <v>-7713.76</v>
      </c>
    </row>
    <row r="10882" spans="1:4" hidden="1" x14ac:dyDescent="0.25">
      <c r="A10882" t="s">
        <v>703</v>
      </c>
      <c r="B10882" t="s">
        <v>98</v>
      </c>
      <c r="C10882" s="2">
        <f>HYPERLINK("https://sao.dolgi.msk.ru/account/1404073091/", 1404073091)</f>
        <v>1404073091</v>
      </c>
      <c r="D10882">
        <v>-7175.78</v>
      </c>
    </row>
    <row r="10883" spans="1:4" hidden="1" x14ac:dyDescent="0.25">
      <c r="A10883" t="s">
        <v>703</v>
      </c>
      <c r="B10883" t="s">
        <v>99</v>
      </c>
      <c r="C10883" s="2">
        <f>HYPERLINK("https://sao.dolgi.msk.ru/account/1404073104/", 1404073104)</f>
        <v>1404073104</v>
      </c>
      <c r="D10883">
        <v>-4963.7</v>
      </c>
    </row>
    <row r="10884" spans="1:4" hidden="1" x14ac:dyDescent="0.25">
      <c r="A10884" t="s">
        <v>703</v>
      </c>
      <c r="B10884" t="s">
        <v>100</v>
      </c>
      <c r="C10884" s="2">
        <f>HYPERLINK("https://sao.dolgi.msk.ru/account/1404073112/", 1404073112)</f>
        <v>1404073112</v>
      </c>
      <c r="D10884">
        <v>-10721.63</v>
      </c>
    </row>
    <row r="10885" spans="1:4" x14ac:dyDescent="0.25">
      <c r="A10885" t="s">
        <v>703</v>
      </c>
      <c r="B10885" t="s">
        <v>101</v>
      </c>
      <c r="C10885" s="2">
        <f>HYPERLINK("https://sao.dolgi.msk.ru/account/1404171388/", 1404171388)</f>
        <v>1404171388</v>
      </c>
      <c r="D10885">
        <v>22870.22</v>
      </c>
    </row>
    <row r="10886" spans="1:4" hidden="1" x14ac:dyDescent="0.25">
      <c r="A10886" t="s">
        <v>703</v>
      </c>
      <c r="B10886" t="s">
        <v>102</v>
      </c>
      <c r="C10886" s="2">
        <f>HYPERLINK("https://sao.dolgi.msk.ru/account/1404073139/", 1404073139)</f>
        <v>1404073139</v>
      </c>
      <c r="D10886">
        <v>-6925.02</v>
      </c>
    </row>
    <row r="10887" spans="1:4" hidden="1" x14ac:dyDescent="0.25">
      <c r="A10887" t="s">
        <v>703</v>
      </c>
      <c r="B10887" t="s">
        <v>103</v>
      </c>
      <c r="C10887" s="2">
        <f>HYPERLINK("https://sao.dolgi.msk.ru/account/1404073147/", 1404073147)</f>
        <v>1404073147</v>
      </c>
      <c r="D10887">
        <v>-5080.7700000000004</v>
      </c>
    </row>
    <row r="10888" spans="1:4" hidden="1" x14ac:dyDescent="0.25">
      <c r="A10888" t="s">
        <v>703</v>
      </c>
      <c r="B10888" t="s">
        <v>104</v>
      </c>
      <c r="C10888" s="2">
        <f>HYPERLINK("https://sao.dolgi.msk.ru/account/1404073155/", 1404073155)</f>
        <v>1404073155</v>
      </c>
      <c r="D10888">
        <v>0</v>
      </c>
    </row>
    <row r="10889" spans="1:4" hidden="1" x14ac:dyDescent="0.25">
      <c r="A10889" t="s">
        <v>703</v>
      </c>
      <c r="B10889" t="s">
        <v>105</v>
      </c>
      <c r="C10889" s="2">
        <f>HYPERLINK("https://sao.dolgi.msk.ru/account/1404073171/", 1404073171)</f>
        <v>1404073171</v>
      </c>
      <c r="D10889">
        <v>0</v>
      </c>
    </row>
    <row r="10890" spans="1:4" hidden="1" x14ac:dyDescent="0.25">
      <c r="A10890" t="s">
        <v>703</v>
      </c>
      <c r="B10890" t="s">
        <v>106</v>
      </c>
      <c r="C10890" s="2">
        <f>HYPERLINK("https://sao.dolgi.msk.ru/account/1404073219/", 1404073219)</f>
        <v>1404073219</v>
      </c>
      <c r="D10890">
        <v>-7043.25</v>
      </c>
    </row>
    <row r="10891" spans="1:4" hidden="1" x14ac:dyDescent="0.25">
      <c r="A10891" t="s">
        <v>703</v>
      </c>
      <c r="B10891" t="s">
        <v>107</v>
      </c>
      <c r="C10891" s="2">
        <f>HYPERLINK("https://sao.dolgi.msk.ru/account/1404073235/", 1404073235)</f>
        <v>1404073235</v>
      </c>
      <c r="D10891">
        <v>-4596.09</v>
      </c>
    </row>
    <row r="10892" spans="1:4" hidden="1" x14ac:dyDescent="0.25">
      <c r="A10892" t="s">
        <v>703</v>
      </c>
      <c r="B10892" t="s">
        <v>108</v>
      </c>
      <c r="C10892" s="2">
        <f>HYPERLINK("https://sao.dolgi.msk.ru/account/1404073251/", 1404073251)</f>
        <v>1404073251</v>
      </c>
      <c r="D10892">
        <v>-10173.41</v>
      </c>
    </row>
    <row r="10893" spans="1:4" hidden="1" x14ac:dyDescent="0.25">
      <c r="A10893" t="s">
        <v>703</v>
      </c>
      <c r="B10893" t="s">
        <v>109</v>
      </c>
      <c r="C10893" s="2">
        <f>HYPERLINK("https://sao.dolgi.msk.ru/account/1404073286/", 1404073286)</f>
        <v>1404073286</v>
      </c>
      <c r="D10893">
        <v>-6585.82</v>
      </c>
    </row>
    <row r="10894" spans="1:4" hidden="1" x14ac:dyDescent="0.25">
      <c r="A10894" t="s">
        <v>703</v>
      </c>
      <c r="B10894" t="s">
        <v>110</v>
      </c>
      <c r="C10894" s="2">
        <f>HYPERLINK("https://sao.dolgi.msk.ru/account/1404073307/", 1404073307)</f>
        <v>1404073307</v>
      </c>
      <c r="D10894">
        <v>-6719.64</v>
      </c>
    </row>
    <row r="10895" spans="1:4" hidden="1" x14ac:dyDescent="0.25">
      <c r="A10895" t="s">
        <v>703</v>
      </c>
      <c r="B10895" t="s">
        <v>111</v>
      </c>
      <c r="C10895" s="2">
        <f>HYPERLINK("https://sao.dolgi.msk.ru/account/1404073315/", 1404073315)</f>
        <v>1404073315</v>
      </c>
      <c r="D10895">
        <v>-4634.13</v>
      </c>
    </row>
    <row r="10896" spans="1:4" hidden="1" x14ac:dyDescent="0.25">
      <c r="A10896" t="s">
        <v>703</v>
      </c>
      <c r="B10896" t="s">
        <v>112</v>
      </c>
      <c r="C10896" s="2">
        <f>HYPERLINK("https://sao.dolgi.msk.ru/account/1404073331/", 1404073331)</f>
        <v>1404073331</v>
      </c>
      <c r="D10896">
        <v>-9495.3799999999992</v>
      </c>
    </row>
    <row r="10897" spans="1:4" hidden="1" x14ac:dyDescent="0.25">
      <c r="A10897" t="s">
        <v>703</v>
      </c>
      <c r="B10897" t="s">
        <v>113</v>
      </c>
      <c r="C10897" s="2">
        <f>HYPERLINK("https://sao.dolgi.msk.ru/account/1404073366/", 1404073366)</f>
        <v>1404073366</v>
      </c>
      <c r="D10897">
        <v>-18439.11</v>
      </c>
    </row>
    <row r="10898" spans="1:4" hidden="1" x14ac:dyDescent="0.25">
      <c r="A10898" t="s">
        <v>703</v>
      </c>
      <c r="B10898" t="s">
        <v>114</v>
      </c>
      <c r="C10898" s="2">
        <f>HYPERLINK("https://sao.dolgi.msk.ru/account/1404073382/", 1404073382)</f>
        <v>1404073382</v>
      </c>
      <c r="D10898">
        <v>-5857.16</v>
      </c>
    </row>
    <row r="10899" spans="1:4" hidden="1" x14ac:dyDescent="0.25">
      <c r="A10899" t="s">
        <v>703</v>
      </c>
      <c r="B10899" t="s">
        <v>115</v>
      </c>
      <c r="C10899" s="2">
        <f>HYPERLINK("https://sao.dolgi.msk.ru/account/1404073403/", 1404073403)</f>
        <v>1404073403</v>
      </c>
      <c r="D10899">
        <v>-11570.2</v>
      </c>
    </row>
    <row r="10900" spans="1:4" hidden="1" x14ac:dyDescent="0.25">
      <c r="A10900" t="s">
        <v>703</v>
      </c>
      <c r="B10900" t="s">
        <v>116</v>
      </c>
      <c r="C10900" s="2">
        <f>HYPERLINK("https://sao.dolgi.msk.ru/account/1404073411/", 1404073411)</f>
        <v>1404073411</v>
      </c>
      <c r="D10900">
        <v>-131.28</v>
      </c>
    </row>
    <row r="10901" spans="1:4" hidden="1" x14ac:dyDescent="0.25">
      <c r="A10901" t="s">
        <v>703</v>
      </c>
      <c r="B10901" t="s">
        <v>117</v>
      </c>
      <c r="C10901" s="2">
        <f>HYPERLINK("https://sao.dolgi.msk.ru/account/1404073438/", 1404073438)</f>
        <v>1404073438</v>
      </c>
      <c r="D10901">
        <v>0</v>
      </c>
    </row>
    <row r="10902" spans="1:4" hidden="1" x14ac:dyDescent="0.25">
      <c r="A10902" t="s">
        <v>703</v>
      </c>
      <c r="B10902" t="s">
        <v>118</v>
      </c>
      <c r="C10902" s="2">
        <f>HYPERLINK("https://sao.dolgi.msk.ru/account/1404073454/", 1404073454)</f>
        <v>1404073454</v>
      </c>
      <c r="D10902">
        <v>-5329.33</v>
      </c>
    </row>
    <row r="10903" spans="1:4" hidden="1" x14ac:dyDescent="0.25">
      <c r="A10903" t="s">
        <v>703</v>
      </c>
      <c r="B10903" t="s">
        <v>119</v>
      </c>
      <c r="C10903" s="2">
        <f>HYPERLINK("https://sao.dolgi.msk.ru/account/1404073489/", 1404073489)</f>
        <v>1404073489</v>
      </c>
      <c r="D10903">
        <v>-1481.23</v>
      </c>
    </row>
    <row r="10904" spans="1:4" hidden="1" x14ac:dyDescent="0.25">
      <c r="A10904" t="s">
        <v>703</v>
      </c>
      <c r="B10904" t="s">
        <v>120</v>
      </c>
      <c r="C10904" s="2">
        <f>HYPERLINK("https://sao.dolgi.msk.ru/account/1404073497/", 1404073497)</f>
        <v>1404073497</v>
      </c>
      <c r="D10904">
        <v>-11412.64</v>
      </c>
    </row>
    <row r="10905" spans="1:4" hidden="1" x14ac:dyDescent="0.25">
      <c r="A10905" t="s">
        <v>703</v>
      </c>
      <c r="B10905" t="s">
        <v>121</v>
      </c>
      <c r="C10905" s="2">
        <f>HYPERLINK("https://sao.dolgi.msk.ru/account/1404073526/", 1404073526)</f>
        <v>1404073526</v>
      </c>
      <c r="D10905">
        <v>-7613.23</v>
      </c>
    </row>
    <row r="10906" spans="1:4" x14ac:dyDescent="0.25">
      <c r="A10906" t="s">
        <v>703</v>
      </c>
      <c r="B10906" t="s">
        <v>122</v>
      </c>
      <c r="C10906" s="2">
        <f>HYPERLINK("https://sao.dolgi.msk.ru/account/1404071176/", 1404071176)</f>
        <v>1404071176</v>
      </c>
      <c r="D10906">
        <v>19493.37</v>
      </c>
    </row>
    <row r="10907" spans="1:4" hidden="1" x14ac:dyDescent="0.25">
      <c r="A10907" t="s">
        <v>703</v>
      </c>
      <c r="B10907" t="s">
        <v>123</v>
      </c>
      <c r="C10907" s="2">
        <f>HYPERLINK("https://sao.dolgi.msk.ru/account/1404071184/", 1404071184)</f>
        <v>1404071184</v>
      </c>
      <c r="D10907">
        <v>-5655.58</v>
      </c>
    </row>
    <row r="10908" spans="1:4" hidden="1" x14ac:dyDescent="0.25">
      <c r="A10908" t="s">
        <v>703</v>
      </c>
      <c r="B10908" t="s">
        <v>124</v>
      </c>
      <c r="C10908" s="2">
        <f>HYPERLINK("https://sao.dolgi.msk.ru/account/1404071192/", 1404071192)</f>
        <v>1404071192</v>
      </c>
      <c r="D10908">
        <v>0</v>
      </c>
    </row>
    <row r="10909" spans="1:4" hidden="1" x14ac:dyDescent="0.25">
      <c r="A10909" t="s">
        <v>703</v>
      </c>
      <c r="B10909" t="s">
        <v>125</v>
      </c>
      <c r="C10909" s="2">
        <f>HYPERLINK("https://sao.dolgi.msk.ru/account/1404073569/", 1404073569)</f>
        <v>1404073569</v>
      </c>
      <c r="D10909">
        <v>-12659.17</v>
      </c>
    </row>
    <row r="10910" spans="1:4" hidden="1" x14ac:dyDescent="0.25">
      <c r="A10910" t="s">
        <v>703</v>
      </c>
      <c r="B10910" t="s">
        <v>126</v>
      </c>
      <c r="C10910" s="2">
        <f>HYPERLINK("https://sao.dolgi.msk.ru/account/1404073585/", 1404073585)</f>
        <v>1404073585</v>
      </c>
      <c r="D10910">
        <v>0</v>
      </c>
    </row>
    <row r="10911" spans="1:4" hidden="1" x14ac:dyDescent="0.25">
      <c r="A10911" t="s">
        <v>703</v>
      </c>
      <c r="B10911" t="s">
        <v>127</v>
      </c>
      <c r="C10911" s="2">
        <f>HYPERLINK("https://sao.dolgi.msk.ru/account/1404073606/", 1404073606)</f>
        <v>1404073606</v>
      </c>
      <c r="D10911">
        <v>0</v>
      </c>
    </row>
    <row r="10912" spans="1:4" hidden="1" x14ac:dyDescent="0.25">
      <c r="A10912" t="s">
        <v>703</v>
      </c>
      <c r="B10912" t="s">
        <v>128</v>
      </c>
      <c r="C10912" s="2">
        <f>HYPERLINK("https://sao.dolgi.msk.ru/account/1404073614/", 1404073614)</f>
        <v>1404073614</v>
      </c>
      <c r="D10912">
        <v>-7461.07</v>
      </c>
    </row>
    <row r="10913" spans="1:4" x14ac:dyDescent="0.25">
      <c r="A10913" t="s">
        <v>703</v>
      </c>
      <c r="B10913" t="s">
        <v>129</v>
      </c>
      <c r="C10913" s="2">
        <f>HYPERLINK("https://sao.dolgi.msk.ru/account/1404073649/", 1404073649)</f>
        <v>1404073649</v>
      </c>
      <c r="D10913">
        <v>8432.59</v>
      </c>
    </row>
    <row r="10914" spans="1:4" hidden="1" x14ac:dyDescent="0.25">
      <c r="A10914" t="s">
        <v>703</v>
      </c>
      <c r="B10914" t="s">
        <v>130</v>
      </c>
      <c r="C10914" s="2">
        <f>HYPERLINK("https://sao.dolgi.msk.ru/account/1404073665/", 1404073665)</f>
        <v>1404073665</v>
      </c>
      <c r="D10914">
        <v>-8264.1200000000008</v>
      </c>
    </row>
    <row r="10915" spans="1:4" hidden="1" x14ac:dyDescent="0.25">
      <c r="A10915" t="s">
        <v>703</v>
      </c>
      <c r="B10915" t="s">
        <v>131</v>
      </c>
      <c r="C10915" s="2">
        <f>HYPERLINK("https://sao.dolgi.msk.ru/account/1404073681/", 1404073681)</f>
        <v>1404073681</v>
      </c>
      <c r="D10915">
        <v>-5082.08</v>
      </c>
    </row>
    <row r="10916" spans="1:4" hidden="1" x14ac:dyDescent="0.25">
      <c r="A10916" t="s">
        <v>703</v>
      </c>
      <c r="B10916" t="s">
        <v>132</v>
      </c>
      <c r="C10916" s="2">
        <f>HYPERLINK("https://sao.dolgi.msk.ru/account/1404071221/", 1404071221)</f>
        <v>1404071221</v>
      </c>
      <c r="D10916">
        <v>-6325.4</v>
      </c>
    </row>
    <row r="10917" spans="1:4" hidden="1" x14ac:dyDescent="0.25">
      <c r="A10917" t="s">
        <v>703</v>
      </c>
      <c r="B10917" t="s">
        <v>133</v>
      </c>
      <c r="C10917" s="2">
        <f>HYPERLINK("https://sao.dolgi.msk.ru/account/1404071379/", 1404071379)</f>
        <v>1404071379</v>
      </c>
      <c r="D10917">
        <v>-7161.4</v>
      </c>
    </row>
    <row r="10918" spans="1:4" hidden="1" x14ac:dyDescent="0.25">
      <c r="A10918" t="s">
        <v>703</v>
      </c>
      <c r="B10918" t="s">
        <v>134</v>
      </c>
      <c r="C10918" s="2">
        <f>HYPERLINK("https://sao.dolgi.msk.ru/account/1404072515/", 1404072515)</f>
        <v>1404072515</v>
      </c>
      <c r="D10918">
        <v>-6741.85</v>
      </c>
    </row>
    <row r="10919" spans="1:4" hidden="1" x14ac:dyDescent="0.25">
      <c r="A10919" t="s">
        <v>703</v>
      </c>
      <c r="B10919" t="s">
        <v>135</v>
      </c>
      <c r="C10919" s="2">
        <f>HYPERLINK("https://sao.dolgi.msk.ru/account/1404071387/", 1404071387)</f>
        <v>1404071387</v>
      </c>
      <c r="D10919">
        <v>-6740.06</v>
      </c>
    </row>
    <row r="10920" spans="1:4" hidden="1" x14ac:dyDescent="0.25">
      <c r="A10920" t="s">
        <v>703</v>
      </c>
      <c r="B10920" t="s">
        <v>136</v>
      </c>
      <c r="C10920" s="2">
        <f>HYPERLINK("https://sao.dolgi.msk.ru/account/1404071395/", 1404071395)</f>
        <v>1404071395</v>
      </c>
      <c r="D10920">
        <v>-5253.99</v>
      </c>
    </row>
    <row r="10921" spans="1:4" hidden="1" x14ac:dyDescent="0.25">
      <c r="A10921" t="s">
        <v>703</v>
      </c>
      <c r="B10921" t="s">
        <v>137</v>
      </c>
      <c r="C10921" s="2">
        <f>HYPERLINK("https://sao.dolgi.msk.ru/account/1404071408/", 1404071408)</f>
        <v>1404071408</v>
      </c>
      <c r="D10921">
        <v>-2920.65</v>
      </c>
    </row>
    <row r="10922" spans="1:4" hidden="1" x14ac:dyDescent="0.25">
      <c r="A10922" t="s">
        <v>703</v>
      </c>
      <c r="B10922" t="s">
        <v>138</v>
      </c>
      <c r="C10922" s="2">
        <f>HYPERLINK("https://sao.dolgi.msk.ru/account/1404071432/", 1404071432)</f>
        <v>1404071432</v>
      </c>
      <c r="D10922">
        <v>-4165.09</v>
      </c>
    </row>
    <row r="10923" spans="1:4" hidden="1" x14ac:dyDescent="0.25">
      <c r="A10923" t="s">
        <v>703</v>
      </c>
      <c r="B10923" t="s">
        <v>139</v>
      </c>
      <c r="C10923" s="2">
        <f>HYPERLINK("https://sao.dolgi.msk.ru/account/1404071459/", 1404071459)</f>
        <v>1404071459</v>
      </c>
      <c r="D10923">
        <v>0</v>
      </c>
    </row>
    <row r="10924" spans="1:4" hidden="1" x14ac:dyDescent="0.25">
      <c r="A10924" t="s">
        <v>703</v>
      </c>
      <c r="B10924" t="s">
        <v>140</v>
      </c>
      <c r="C10924" s="2">
        <f>HYPERLINK("https://sao.dolgi.msk.ru/account/1404071483/", 1404071483)</f>
        <v>1404071483</v>
      </c>
      <c r="D10924">
        <v>-11559.09</v>
      </c>
    </row>
    <row r="10925" spans="1:4" hidden="1" x14ac:dyDescent="0.25">
      <c r="A10925" t="s">
        <v>703</v>
      </c>
      <c r="B10925" t="s">
        <v>141</v>
      </c>
      <c r="C10925" s="2">
        <f>HYPERLINK("https://sao.dolgi.msk.ru/account/1404071504/", 1404071504)</f>
        <v>1404071504</v>
      </c>
      <c r="D10925">
        <v>-7014.9</v>
      </c>
    </row>
    <row r="10926" spans="1:4" hidden="1" x14ac:dyDescent="0.25">
      <c r="A10926" t="s">
        <v>703</v>
      </c>
      <c r="B10926" t="s">
        <v>142</v>
      </c>
      <c r="C10926" s="2">
        <f>HYPERLINK("https://sao.dolgi.msk.ru/account/1404071539/", 1404071539)</f>
        <v>1404071539</v>
      </c>
      <c r="D10926">
        <v>-6602.14</v>
      </c>
    </row>
    <row r="10927" spans="1:4" hidden="1" x14ac:dyDescent="0.25">
      <c r="A10927" t="s">
        <v>703</v>
      </c>
      <c r="B10927" t="s">
        <v>143</v>
      </c>
      <c r="C10927" s="2">
        <f>HYPERLINK("https://sao.dolgi.msk.ru/account/1404071563/", 1404071563)</f>
        <v>1404071563</v>
      </c>
      <c r="D10927">
        <v>-4072.73</v>
      </c>
    </row>
    <row r="10928" spans="1:4" hidden="1" x14ac:dyDescent="0.25">
      <c r="A10928" t="s">
        <v>703</v>
      </c>
      <c r="B10928" t="s">
        <v>144</v>
      </c>
      <c r="C10928" s="2">
        <f>HYPERLINK("https://sao.dolgi.msk.ru/account/1404071619/", 1404071619)</f>
        <v>1404071619</v>
      </c>
      <c r="D10928">
        <v>-10935.95</v>
      </c>
    </row>
    <row r="10929" spans="1:4" hidden="1" x14ac:dyDescent="0.25">
      <c r="A10929" t="s">
        <v>703</v>
      </c>
      <c r="B10929" t="s">
        <v>145</v>
      </c>
      <c r="C10929" s="2">
        <f>HYPERLINK("https://sao.dolgi.msk.ru/account/1404071635/", 1404071635)</f>
        <v>1404071635</v>
      </c>
      <c r="D10929">
        <v>-8213.5300000000007</v>
      </c>
    </row>
    <row r="10930" spans="1:4" hidden="1" x14ac:dyDescent="0.25">
      <c r="A10930" t="s">
        <v>703</v>
      </c>
      <c r="B10930" t="s">
        <v>146</v>
      </c>
      <c r="C10930" s="2">
        <f>HYPERLINK("https://sao.dolgi.msk.ru/account/1404071678/", 1404071678)</f>
        <v>1404071678</v>
      </c>
      <c r="D10930">
        <v>-5547.93</v>
      </c>
    </row>
    <row r="10931" spans="1:4" hidden="1" x14ac:dyDescent="0.25">
      <c r="A10931" t="s">
        <v>703</v>
      </c>
      <c r="B10931" t="s">
        <v>147</v>
      </c>
      <c r="C10931" s="2">
        <f>HYPERLINK("https://sao.dolgi.msk.ru/account/1404071707/", 1404071707)</f>
        <v>1404071707</v>
      </c>
      <c r="D10931">
        <v>-233.64</v>
      </c>
    </row>
    <row r="10932" spans="1:4" hidden="1" x14ac:dyDescent="0.25">
      <c r="A10932" t="s">
        <v>703</v>
      </c>
      <c r="B10932" t="s">
        <v>148</v>
      </c>
      <c r="C10932" s="2">
        <f>HYPERLINK("https://sao.dolgi.msk.ru/account/1404071758/", 1404071758)</f>
        <v>1404071758</v>
      </c>
      <c r="D10932">
        <v>0</v>
      </c>
    </row>
    <row r="10933" spans="1:4" hidden="1" x14ac:dyDescent="0.25">
      <c r="A10933" t="s">
        <v>703</v>
      </c>
      <c r="B10933" t="s">
        <v>149</v>
      </c>
      <c r="C10933" s="2">
        <f>HYPERLINK("https://sao.dolgi.msk.ru/account/1404071774/", 1404071774)</f>
        <v>1404071774</v>
      </c>
      <c r="D10933">
        <v>-3175.53</v>
      </c>
    </row>
    <row r="10934" spans="1:4" x14ac:dyDescent="0.25">
      <c r="A10934" t="s">
        <v>703</v>
      </c>
      <c r="B10934" t="s">
        <v>150</v>
      </c>
      <c r="C10934" s="2">
        <f>HYPERLINK("https://sao.dolgi.msk.ru/account/1404071803/", 1404071803)</f>
        <v>1404071803</v>
      </c>
      <c r="D10934">
        <v>4827.26</v>
      </c>
    </row>
    <row r="10935" spans="1:4" hidden="1" x14ac:dyDescent="0.25">
      <c r="A10935" t="s">
        <v>703</v>
      </c>
      <c r="B10935" t="s">
        <v>151</v>
      </c>
      <c r="C10935" s="2">
        <f>HYPERLINK("https://sao.dolgi.msk.ru/account/1404071811/", 1404071811)</f>
        <v>1404071811</v>
      </c>
      <c r="D10935">
        <v>0</v>
      </c>
    </row>
    <row r="10936" spans="1:4" hidden="1" x14ac:dyDescent="0.25">
      <c r="A10936" t="s">
        <v>703</v>
      </c>
      <c r="B10936" t="s">
        <v>152</v>
      </c>
      <c r="C10936" s="2">
        <f>HYPERLINK("https://sao.dolgi.msk.ru/account/1404071846/", 1404071846)</f>
        <v>1404071846</v>
      </c>
      <c r="D10936">
        <v>-9271.08</v>
      </c>
    </row>
    <row r="10937" spans="1:4" x14ac:dyDescent="0.25">
      <c r="A10937" t="s">
        <v>703</v>
      </c>
      <c r="B10937" t="s">
        <v>153</v>
      </c>
      <c r="C10937" s="2">
        <f>HYPERLINK("https://sao.dolgi.msk.ru/account/1404071862/", 1404071862)</f>
        <v>1404071862</v>
      </c>
      <c r="D10937">
        <v>189554.5</v>
      </c>
    </row>
    <row r="10938" spans="1:4" hidden="1" x14ac:dyDescent="0.25">
      <c r="A10938" t="s">
        <v>703</v>
      </c>
      <c r="B10938" t="s">
        <v>154</v>
      </c>
      <c r="C10938" s="2">
        <f>HYPERLINK("https://sao.dolgi.msk.ru/account/1404071889/", 1404071889)</f>
        <v>1404071889</v>
      </c>
      <c r="D10938">
        <v>-8055.25</v>
      </c>
    </row>
    <row r="10939" spans="1:4" hidden="1" x14ac:dyDescent="0.25">
      <c r="A10939" t="s">
        <v>703</v>
      </c>
      <c r="B10939" t="s">
        <v>155</v>
      </c>
      <c r="C10939" s="2">
        <f>HYPERLINK("https://sao.dolgi.msk.ru/account/1404071897/", 1404071897)</f>
        <v>1404071897</v>
      </c>
      <c r="D10939">
        <v>-10037.790000000001</v>
      </c>
    </row>
    <row r="10940" spans="1:4" hidden="1" x14ac:dyDescent="0.25">
      <c r="A10940" t="s">
        <v>703</v>
      </c>
      <c r="B10940" t="s">
        <v>156</v>
      </c>
      <c r="C10940" s="2">
        <f>HYPERLINK("https://sao.dolgi.msk.ru/account/1404071926/", 1404071926)</f>
        <v>1404071926</v>
      </c>
      <c r="D10940">
        <v>-8396.2099999999991</v>
      </c>
    </row>
    <row r="10941" spans="1:4" hidden="1" x14ac:dyDescent="0.25">
      <c r="A10941" t="s">
        <v>703</v>
      </c>
      <c r="B10941" t="s">
        <v>157</v>
      </c>
      <c r="C10941" s="2">
        <f>HYPERLINK("https://sao.dolgi.msk.ru/account/1404071942/", 1404071942)</f>
        <v>1404071942</v>
      </c>
      <c r="D10941">
        <v>-8167.31</v>
      </c>
    </row>
    <row r="10942" spans="1:4" x14ac:dyDescent="0.25">
      <c r="A10942" t="s">
        <v>703</v>
      </c>
      <c r="B10942" t="s">
        <v>158</v>
      </c>
      <c r="C10942" s="2">
        <f>HYPERLINK("https://sao.dolgi.msk.ru/account/1404071985/", 1404071985)</f>
        <v>1404071985</v>
      </c>
      <c r="D10942">
        <v>6747.62</v>
      </c>
    </row>
    <row r="10943" spans="1:4" hidden="1" x14ac:dyDescent="0.25">
      <c r="A10943" t="s">
        <v>703</v>
      </c>
      <c r="B10943" t="s">
        <v>159</v>
      </c>
      <c r="C10943" s="2">
        <f>HYPERLINK("https://sao.dolgi.msk.ru/account/1404072013/", 1404072013)</f>
        <v>1404072013</v>
      </c>
      <c r="D10943">
        <v>-4625.8</v>
      </c>
    </row>
    <row r="10944" spans="1:4" hidden="1" x14ac:dyDescent="0.25">
      <c r="A10944" t="s">
        <v>703</v>
      </c>
      <c r="B10944" t="s">
        <v>160</v>
      </c>
      <c r="C10944" s="2">
        <f>HYPERLINK("https://sao.dolgi.msk.ru/account/1404072056/", 1404072056)</f>
        <v>1404072056</v>
      </c>
      <c r="D10944">
        <v>0</v>
      </c>
    </row>
    <row r="10945" spans="1:4" hidden="1" x14ac:dyDescent="0.25">
      <c r="A10945" t="s">
        <v>703</v>
      </c>
      <c r="B10945" t="s">
        <v>161</v>
      </c>
      <c r="C10945" s="2">
        <f>HYPERLINK("https://sao.dolgi.msk.ru/account/1404072072/", 1404072072)</f>
        <v>1404072072</v>
      </c>
      <c r="D10945">
        <v>-5221.34</v>
      </c>
    </row>
    <row r="10946" spans="1:4" x14ac:dyDescent="0.25">
      <c r="A10946" t="s">
        <v>703</v>
      </c>
      <c r="B10946" t="s">
        <v>162</v>
      </c>
      <c r="C10946" s="2">
        <f>HYPERLINK("https://sao.dolgi.msk.ru/account/1404072099/", 1404072099)</f>
        <v>1404072099</v>
      </c>
      <c r="D10946">
        <v>7850.14</v>
      </c>
    </row>
    <row r="10947" spans="1:4" hidden="1" x14ac:dyDescent="0.25">
      <c r="A10947" t="s">
        <v>703</v>
      </c>
      <c r="B10947" t="s">
        <v>163</v>
      </c>
      <c r="C10947" s="2">
        <f>HYPERLINK("https://sao.dolgi.msk.ru/account/1404072128/", 1404072128)</f>
        <v>1404072128</v>
      </c>
      <c r="D10947">
        <v>-3978.05</v>
      </c>
    </row>
    <row r="10948" spans="1:4" hidden="1" x14ac:dyDescent="0.25">
      <c r="A10948" t="s">
        <v>703</v>
      </c>
      <c r="B10948" t="s">
        <v>164</v>
      </c>
      <c r="C10948" s="2">
        <f>HYPERLINK("https://sao.dolgi.msk.ru/account/1404072136/", 1404072136)</f>
        <v>1404072136</v>
      </c>
      <c r="D10948">
        <v>-6913.27</v>
      </c>
    </row>
    <row r="10949" spans="1:4" hidden="1" x14ac:dyDescent="0.25">
      <c r="A10949" t="s">
        <v>703</v>
      </c>
      <c r="B10949" t="s">
        <v>165</v>
      </c>
      <c r="C10949" s="2">
        <f>HYPERLINK("https://sao.dolgi.msk.ru/account/1404072179/", 1404072179)</f>
        <v>1404072179</v>
      </c>
      <c r="D10949">
        <v>-7622.96</v>
      </c>
    </row>
    <row r="10950" spans="1:4" hidden="1" x14ac:dyDescent="0.25">
      <c r="A10950" t="s">
        <v>703</v>
      </c>
      <c r="B10950" t="s">
        <v>166</v>
      </c>
      <c r="C10950" s="2">
        <f>HYPERLINK("https://sao.dolgi.msk.ru/account/1404072195/", 1404072195)</f>
        <v>1404072195</v>
      </c>
      <c r="D10950">
        <v>-32.659999999999997</v>
      </c>
    </row>
    <row r="10951" spans="1:4" hidden="1" x14ac:dyDescent="0.25">
      <c r="A10951" t="s">
        <v>703</v>
      </c>
      <c r="B10951" t="s">
        <v>167</v>
      </c>
      <c r="C10951" s="2">
        <f>HYPERLINK("https://sao.dolgi.msk.ru/account/1404072216/", 1404072216)</f>
        <v>1404072216</v>
      </c>
      <c r="D10951">
        <v>-4662.82</v>
      </c>
    </row>
    <row r="10952" spans="1:4" hidden="1" x14ac:dyDescent="0.25">
      <c r="A10952" t="s">
        <v>703</v>
      </c>
      <c r="B10952" t="s">
        <v>168</v>
      </c>
      <c r="C10952" s="2">
        <f>HYPERLINK("https://sao.dolgi.msk.ru/account/1404072232/", 1404072232)</f>
        <v>1404072232</v>
      </c>
      <c r="D10952">
        <v>0</v>
      </c>
    </row>
    <row r="10953" spans="1:4" hidden="1" x14ac:dyDescent="0.25">
      <c r="A10953" t="s">
        <v>703</v>
      </c>
      <c r="B10953" t="s">
        <v>169</v>
      </c>
      <c r="C10953" s="2">
        <f>HYPERLINK("https://sao.dolgi.msk.ru/account/1404072275/", 1404072275)</f>
        <v>1404072275</v>
      </c>
      <c r="D10953">
        <v>-521.66999999999996</v>
      </c>
    </row>
    <row r="10954" spans="1:4" hidden="1" x14ac:dyDescent="0.25">
      <c r="A10954" t="s">
        <v>703</v>
      </c>
      <c r="B10954" t="s">
        <v>170</v>
      </c>
      <c r="C10954" s="2">
        <f>HYPERLINK("https://sao.dolgi.msk.ru/account/1404072291/", 1404072291)</f>
        <v>1404072291</v>
      </c>
      <c r="D10954">
        <v>-6685.99</v>
      </c>
    </row>
    <row r="10955" spans="1:4" hidden="1" x14ac:dyDescent="0.25">
      <c r="A10955" t="s">
        <v>703</v>
      </c>
      <c r="B10955" t="s">
        <v>171</v>
      </c>
      <c r="C10955" s="2">
        <f>HYPERLINK("https://sao.dolgi.msk.ru/account/1404072312/", 1404072312)</f>
        <v>1404072312</v>
      </c>
      <c r="D10955">
        <v>-1613.47</v>
      </c>
    </row>
    <row r="10956" spans="1:4" hidden="1" x14ac:dyDescent="0.25">
      <c r="A10956" t="s">
        <v>703</v>
      </c>
      <c r="B10956" t="s">
        <v>172</v>
      </c>
      <c r="C10956" s="2">
        <f>HYPERLINK("https://sao.dolgi.msk.ru/account/1404072347/", 1404072347)</f>
        <v>1404072347</v>
      </c>
      <c r="D10956">
        <v>-1422.74</v>
      </c>
    </row>
    <row r="10957" spans="1:4" hidden="1" x14ac:dyDescent="0.25">
      <c r="A10957" t="s">
        <v>703</v>
      </c>
      <c r="B10957" t="s">
        <v>173</v>
      </c>
      <c r="C10957" s="2">
        <f>HYPERLINK("https://sao.dolgi.msk.ru/account/1404072363/", 1404072363)</f>
        <v>1404072363</v>
      </c>
      <c r="D10957">
        <v>-7875.97</v>
      </c>
    </row>
    <row r="10958" spans="1:4" hidden="1" x14ac:dyDescent="0.25">
      <c r="A10958" t="s">
        <v>703</v>
      </c>
      <c r="B10958" t="s">
        <v>174</v>
      </c>
      <c r="C10958" s="2">
        <f>HYPERLINK("https://sao.dolgi.msk.ru/account/1404072398/", 1404072398)</f>
        <v>1404072398</v>
      </c>
      <c r="D10958">
        <v>-5967.81</v>
      </c>
    </row>
    <row r="10959" spans="1:4" hidden="1" x14ac:dyDescent="0.25">
      <c r="A10959" t="s">
        <v>703</v>
      </c>
      <c r="B10959" t="s">
        <v>175</v>
      </c>
      <c r="C10959" s="2">
        <f>HYPERLINK("https://sao.dolgi.msk.ru/account/1404072427/", 1404072427)</f>
        <v>1404072427</v>
      </c>
      <c r="D10959">
        <v>-4471.6899999999996</v>
      </c>
    </row>
    <row r="10960" spans="1:4" hidden="1" x14ac:dyDescent="0.25">
      <c r="A10960" t="s">
        <v>703</v>
      </c>
      <c r="B10960" t="s">
        <v>176</v>
      </c>
      <c r="C10960" s="2">
        <f>HYPERLINK("https://sao.dolgi.msk.ru/account/1404072443/", 1404072443)</f>
        <v>1404072443</v>
      </c>
      <c r="D10960">
        <v>-8355.7199999999993</v>
      </c>
    </row>
    <row r="10961" spans="1:4" hidden="1" x14ac:dyDescent="0.25">
      <c r="A10961" t="s">
        <v>703</v>
      </c>
      <c r="B10961" t="s">
        <v>177</v>
      </c>
      <c r="C10961" s="2">
        <f>HYPERLINK("https://sao.dolgi.msk.ru/account/1404072478/", 1404072478)</f>
        <v>1404072478</v>
      </c>
      <c r="D10961">
        <v>0</v>
      </c>
    </row>
    <row r="10962" spans="1:4" hidden="1" x14ac:dyDescent="0.25">
      <c r="A10962" t="s">
        <v>703</v>
      </c>
      <c r="B10962" t="s">
        <v>178</v>
      </c>
      <c r="C10962" s="2">
        <f>HYPERLINK("https://sao.dolgi.msk.ru/account/1404072486/", 1404072486)</f>
        <v>1404072486</v>
      </c>
      <c r="D10962">
        <v>-5511.83</v>
      </c>
    </row>
    <row r="10963" spans="1:4" hidden="1" x14ac:dyDescent="0.25">
      <c r="A10963" t="s">
        <v>703</v>
      </c>
      <c r="B10963" t="s">
        <v>179</v>
      </c>
      <c r="C10963" s="2">
        <f>HYPERLINK("https://sao.dolgi.msk.ru/account/1404072523/", 1404072523)</f>
        <v>1404072523</v>
      </c>
      <c r="D10963">
        <v>-6091.12</v>
      </c>
    </row>
    <row r="10964" spans="1:4" hidden="1" x14ac:dyDescent="0.25">
      <c r="A10964" t="s">
        <v>703</v>
      </c>
      <c r="B10964" t="s">
        <v>180</v>
      </c>
      <c r="C10964" s="2">
        <f>HYPERLINK("https://sao.dolgi.msk.ru/account/1404072558/", 1404072558)</f>
        <v>1404072558</v>
      </c>
      <c r="D10964">
        <v>-560.72</v>
      </c>
    </row>
    <row r="10965" spans="1:4" hidden="1" x14ac:dyDescent="0.25">
      <c r="A10965" t="s">
        <v>703</v>
      </c>
      <c r="B10965" t="s">
        <v>181</v>
      </c>
      <c r="C10965" s="2">
        <f>HYPERLINK("https://sao.dolgi.msk.ru/account/1404072574/", 1404072574)</f>
        <v>1404072574</v>
      </c>
      <c r="D10965">
        <v>-8461.5400000000009</v>
      </c>
    </row>
    <row r="10966" spans="1:4" hidden="1" x14ac:dyDescent="0.25">
      <c r="A10966" t="s">
        <v>703</v>
      </c>
      <c r="B10966" t="s">
        <v>182</v>
      </c>
      <c r="C10966" s="2">
        <f>HYPERLINK("https://sao.dolgi.msk.ru/account/1404072582/", 1404072582)</f>
        <v>1404072582</v>
      </c>
      <c r="D10966">
        <v>-117.96</v>
      </c>
    </row>
    <row r="10967" spans="1:4" hidden="1" x14ac:dyDescent="0.25">
      <c r="A10967" t="s">
        <v>703</v>
      </c>
      <c r="B10967" t="s">
        <v>183</v>
      </c>
      <c r="C10967" s="2">
        <f>HYPERLINK("https://sao.dolgi.msk.ru/account/1404072611/", 1404072611)</f>
        <v>1404072611</v>
      </c>
      <c r="D10967">
        <v>-8338.11</v>
      </c>
    </row>
    <row r="10968" spans="1:4" hidden="1" x14ac:dyDescent="0.25">
      <c r="A10968" t="s">
        <v>703</v>
      </c>
      <c r="B10968" t="s">
        <v>184</v>
      </c>
      <c r="C10968" s="2">
        <f>HYPERLINK("https://sao.dolgi.msk.ru/account/1404072638/", 1404072638)</f>
        <v>1404072638</v>
      </c>
      <c r="D10968">
        <v>-8601.6299999999992</v>
      </c>
    </row>
    <row r="10969" spans="1:4" hidden="1" x14ac:dyDescent="0.25">
      <c r="A10969" t="s">
        <v>703</v>
      </c>
      <c r="B10969" t="s">
        <v>185</v>
      </c>
      <c r="C10969" s="2">
        <f>HYPERLINK("https://sao.dolgi.msk.ru/account/1404072689/", 1404072689)</f>
        <v>1404072689</v>
      </c>
      <c r="D10969">
        <v>-8408.64</v>
      </c>
    </row>
    <row r="10970" spans="1:4" x14ac:dyDescent="0.25">
      <c r="A10970" t="s">
        <v>703</v>
      </c>
      <c r="B10970" t="s">
        <v>186</v>
      </c>
      <c r="C10970" s="2">
        <f>HYPERLINK("https://sao.dolgi.msk.ru/account/1404072718/", 1404072718)</f>
        <v>1404072718</v>
      </c>
      <c r="D10970">
        <v>3128.37</v>
      </c>
    </row>
    <row r="10971" spans="1:4" hidden="1" x14ac:dyDescent="0.25">
      <c r="A10971" t="s">
        <v>703</v>
      </c>
      <c r="B10971" t="s">
        <v>187</v>
      </c>
      <c r="C10971" s="2">
        <f>HYPERLINK("https://sao.dolgi.msk.ru/account/1404072726/", 1404072726)</f>
        <v>1404072726</v>
      </c>
      <c r="D10971">
        <v>-7437.77</v>
      </c>
    </row>
    <row r="10972" spans="1:4" hidden="1" x14ac:dyDescent="0.25">
      <c r="A10972" t="s">
        <v>703</v>
      </c>
      <c r="B10972" t="s">
        <v>188</v>
      </c>
      <c r="C10972" s="2">
        <f>HYPERLINK("https://sao.dolgi.msk.ru/account/1404072769/", 1404072769)</f>
        <v>1404072769</v>
      </c>
      <c r="D10972">
        <v>-1385.52</v>
      </c>
    </row>
    <row r="10973" spans="1:4" hidden="1" x14ac:dyDescent="0.25">
      <c r="A10973" t="s">
        <v>703</v>
      </c>
      <c r="B10973" t="s">
        <v>189</v>
      </c>
      <c r="C10973" s="2">
        <f>HYPERLINK("https://sao.dolgi.msk.ru/account/1404072785/", 1404072785)</f>
        <v>1404072785</v>
      </c>
      <c r="D10973">
        <v>-8944.7000000000007</v>
      </c>
    </row>
    <row r="10974" spans="1:4" hidden="1" x14ac:dyDescent="0.25">
      <c r="A10974" t="s">
        <v>703</v>
      </c>
      <c r="B10974" t="s">
        <v>190</v>
      </c>
      <c r="C10974" s="2">
        <f>HYPERLINK("https://sao.dolgi.msk.ru/account/1404072814/", 1404072814)</f>
        <v>1404072814</v>
      </c>
      <c r="D10974">
        <v>-5684.68</v>
      </c>
    </row>
    <row r="10975" spans="1:4" hidden="1" x14ac:dyDescent="0.25">
      <c r="A10975" t="s">
        <v>703</v>
      </c>
      <c r="B10975" t="s">
        <v>191</v>
      </c>
      <c r="C10975" s="2">
        <f>HYPERLINK("https://sao.dolgi.msk.ru/account/1404073163/", 1404073163)</f>
        <v>1404073163</v>
      </c>
      <c r="D10975">
        <v>-7049.64</v>
      </c>
    </row>
    <row r="10976" spans="1:4" hidden="1" x14ac:dyDescent="0.25">
      <c r="A10976" t="s">
        <v>703</v>
      </c>
      <c r="B10976" t="s">
        <v>192</v>
      </c>
      <c r="C10976" s="2">
        <f>HYPERLINK("https://sao.dolgi.msk.ru/account/1404073198/", 1404073198)</f>
        <v>1404073198</v>
      </c>
      <c r="D10976">
        <v>-51.25</v>
      </c>
    </row>
    <row r="10977" spans="1:4" hidden="1" x14ac:dyDescent="0.25">
      <c r="A10977" t="s">
        <v>703</v>
      </c>
      <c r="B10977" t="s">
        <v>193</v>
      </c>
      <c r="C10977" s="2">
        <f>HYPERLINK("https://sao.dolgi.msk.ru/account/1404073227/", 1404073227)</f>
        <v>1404073227</v>
      </c>
      <c r="D10977">
        <v>-12520.41</v>
      </c>
    </row>
    <row r="10978" spans="1:4" hidden="1" x14ac:dyDescent="0.25">
      <c r="A10978" t="s">
        <v>703</v>
      </c>
      <c r="B10978" t="s">
        <v>194</v>
      </c>
      <c r="C10978" s="2">
        <f>HYPERLINK("https://sao.dolgi.msk.ru/account/1404073243/", 1404073243)</f>
        <v>1404073243</v>
      </c>
      <c r="D10978">
        <v>-1011.7</v>
      </c>
    </row>
    <row r="10979" spans="1:4" hidden="1" x14ac:dyDescent="0.25">
      <c r="A10979" t="s">
        <v>703</v>
      </c>
      <c r="B10979" t="s">
        <v>195</v>
      </c>
      <c r="C10979" s="2">
        <f>HYPERLINK("https://sao.dolgi.msk.ru/account/1404073278/", 1404073278)</f>
        <v>1404073278</v>
      </c>
      <c r="D10979">
        <v>-6174.54</v>
      </c>
    </row>
    <row r="10980" spans="1:4" hidden="1" x14ac:dyDescent="0.25">
      <c r="A10980" t="s">
        <v>703</v>
      </c>
      <c r="B10980" t="s">
        <v>196</v>
      </c>
      <c r="C10980" s="2">
        <f>HYPERLINK("https://sao.dolgi.msk.ru/account/1404073294/", 1404073294)</f>
        <v>1404073294</v>
      </c>
      <c r="D10980">
        <v>0</v>
      </c>
    </row>
    <row r="10981" spans="1:4" hidden="1" x14ac:dyDescent="0.25">
      <c r="A10981" t="s">
        <v>703</v>
      </c>
      <c r="B10981" t="s">
        <v>197</v>
      </c>
      <c r="C10981" s="2">
        <f>HYPERLINK("https://sao.dolgi.msk.ru/account/1404093201/", 1404093201)</f>
        <v>1404093201</v>
      </c>
      <c r="D10981">
        <v>-8131.76</v>
      </c>
    </row>
    <row r="10982" spans="1:4" hidden="1" x14ac:dyDescent="0.25">
      <c r="A10982" t="s">
        <v>703</v>
      </c>
      <c r="B10982" t="s">
        <v>198</v>
      </c>
      <c r="C10982" s="2">
        <f>HYPERLINK("https://sao.dolgi.msk.ru/account/1404073323/", 1404073323)</f>
        <v>1404073323</v>
      </c>
      <c r="D10982">
        <v>-6874.54</v>
      </c>
    </row>
    <row r="10983" spans="1:4" hidden="1" x14ac:dyDescent="0.25">
      <c r="A10983" t="s">
        <v>703</v>
      </c>
      <c r="B10983" t="s">
        <v>199</v>
      </c>
      <c r="C10983" s="2">
        <f>HYPERLINK("https://sao.dolgi.msk.ru/account/1404073358/", 1404073358)</f>
        <v>1404073358</v>
      </c>
      <c r="D10983">
        <v>-6135.98</v>
      </c>
    </row>
    <row r="10984" spans="1:4" hidden="1" x14ac:dyDescent="0.25">
      <c r="A10984" t="s">
        <v>703</v>
      </c>
      <c r="B10984" t="s">
        <v>200</v>
      </c>
      <c r="C10984" s="2">
        <f>HYPERLINK("https://sao.dolgi.msk.ru/account/1404073374/", 1404073374)</f>
        <v>1404073374</v>
      </c>
      <c r="D10984">
        <v>0</v>
      </c>
    </row>
    <row r="10985" spans="1:4" x14ac:dyDescent="0.25">
      <c r="A10985" t="s">
        <v>703</v>
      </c>
      <c r="B10985" t="s">
        <v>201</v>
      </c>
      <c r="C10985" s="2">
        <f>HYPERLINK("https://sao.dolgi.msk.ru/account/1404091417/", 1404091417)</f>
        <v>1404091417</v>
      </c>
      <c r="D10985">
        <v>10662.08</v>
      </c>
    </row>
    <row r="10986" spans="1:4" hidden="1" x14ac:dyDescent="0.25">
      <c r="A10986" t="s">
        <v>703</v>
      </c>
      <c r="B10986" t="s">
        <v>202</v>
      </c>
      <c r="C10986" s="2">
        <f>HYPERLINK("https://sao.dolgi.msk.ru/account/1404073446/", 1404073446)</f>
        <v>1404073446</v>
      </c>
      <c r="D10986">
        <v>-3791.32</v>
      </c>
    </row>
    <row r="10987" spans="1:4" hidden="1" x14ac:dyDescent="0.25">
      <c r="A10987" t="s">
        <v>703</v>
      </c>
      <c r="B10987" t="s">
        <v>203</v>
      </c>
      <c r="C10987" s="2">
        <f>HYPERLINK("https://sao.dolgi.msk.ru/account/1404073462/", 1404073462)</f>
        <v>1404073462</v>
      </c>
      <c r="D10987">
        <v>-9843.42</v>
      </c>
    </row>
    <row r="10988" spans="1:4" hidden="1" x14ac:dyDescent="0.25">
      <c r="A10988" t="s">
        <v>703</v>
      </c>
      <c r="B10988" t="s">
        <v>204</v>
      </c>
      <c r="C10988" s="2">
        <f>HYPERLINK("https://sao.dolgi.msk.ru/account/1404073518/", 1404073518)</f>
        <v>1404073518</v>
      </c>
      <c r="D10988">
        <v>-6921.23</v>
      </c>
    </row>
    <row r="10989" spans="1:4" hidden="1" x14ac:dyDescent="0.25">
      <c r="A10989" t="s">
        <v>703</v>
      </c>
      <c r="B10989" t="s">
        <v>205</v>
      </c>
      <c r="C10989" s="2">
        <f>HYPERLINK("https://sao.dolgi.msk.ru/account/1404073534/", 1404073534)</f>
        <v>1404073534</v>
      </c>
      <c r="D10989">
        <v>-9061.6200000000008</v>
      </c>
    </row>
    <row r="10990" spans="1:4" hidden="1" x14ac:dyDescent="0.25">
      <c r="A10990" t="s">
        <v>703</v>
      </c>
      <c r="B10990" t="s">
        <v>206</v>
      </c>
      <c r="C10990" s="2">
        <f>HYPERLINK("https://sao.dolgi.msk.ru/account/1404073542/", 1404073542)</f>
        <v>1404073542</v>
      </c>
      <c r="D10990">
        <v>0</v>
      </c>
    </row>
    <row r="10991" spans="1:4" hidden="1" x14ac:dyDescent="0.25">
      <c r="A10991" t="s">
        <v>703</v>
      </c>
      <c r="B10991" t="s">
        <v>207</v>
      </c>
      <c r="C10991" s="2">
        <f>HYPERLINK("https://sao.dolgi.msk.ru/account/1404073577/", 1404073577)</f>
        <v>1404073577</v>
      </c>
      <c r="D10991">
        <v>-506.79</v>
      </c>
    </row>
    <row r="10992" spans="1:4" hidden="1" x14ac:dyDescent="0.25">
      <c r="A10992" t="s">
        <v>703</v>
      </c>
      <c r="B10992" t="s">
        <v>208</v>
      </c>
      <c r="C10992" s="2">
        <f>HYPERLINK("https://sao.dolgi.msk.ru/account/1404073593/", 1404073593)</f>
        <v>1404073593</v>
      </c>
      <c r="D10992">
        <v>-5911.19</v>
      </c>
    </row>
    <row r="10993" spans="1:4" hidden="1" x14ac:dyDescent="0.25">
      <c r="A10993" t="s">
        <v>703</v>
      </c>
      <c r="B10993" t="s">
        <v>209</v>
      </c>
      <c r="C10993" s="2">
        <f>HYPERLINK("https://sao.dolgi.msk.ru/account/1404073622/", 1404073622)</f>
        <v>1404073622</v>
      </c>
      <c r="D10993">
        <v>-7728.48</v>
      </c>
    </row>
    <row r="10994" spans="1:4" hidden="1" x14ac:dyDescent="0.25">
      <c r="A10994" t="s">
        <v>703</v>
      </c>
      <c r="B10994" t="s">
        <v>210</v>
      </c>
      <c r="C10994" s="2">
        <f>HYPERLINK("https://sao.dolgi.msk.ru/account/1404073657/", 1404073657)</f>
        <v>1404073657</v>
      </c>
      <c r="D10994">
        <v>-2587.65</v>
      </c>
    </row>
    <row r="10995" spans="1:4" hidden="1" x14ac:dyDescent="0.25">
      <c r="A10995" t="s">
        <v>703</v>
      </c>
      <c r="B10995" t="s">
        <v>211</v>
      </c>
      <c r="C10995" s="2">
        <f>HYPERLINK("https://sao.dolgi.msk.ru/account/1404073673/", 1404073673)</f>
        <v>1404073673</v>
      </c>
      <c r="D10995">
        <v>-1148.19</v>
      </c>
    </row>
    <row r="10996" spans="1:4" hidden="1" x14ac:dyDescent="0.25">
      <c r="A10996" t="s">
        <v>703</v>
      </c>
      <c r="B10996" t="s">
        <v>212</v>
      </c>
      <c r="C10996" s="2">
        <f>HYPERLINK("https://sao.dolgi.msk.ru/account/1404073702/", 1404073702)</f>
        <v>1404073702</v>
      </c>
      <c r="D10996">
        <v>-2248.66</v>
      </c>
    </row>
    <row r="10997" spans="1:4" hidden="1" x14ac:dyDescent="0.25">
      <c r="A10997" t="s">
        <v>703</v>
      </c>
      <c r="B10997" t="s">
        <v>213</v>
      </c>
      <c r="C10997" s="2">
        <f>HYPERLINK("https://sao.dolgi.msk.ru/account/1404073737/", 1404073737)</f>
        <v>1404073737</v>
      </c>
      <c r="D10997">
        <v>-8683.6</v>
      </c>
    </row>
    <row r="10998" spans="1:4" hidden="1" x14ac:dyDescent="0.25">
      <c r="A10998" t="s">
        <v>703</v>
      </c>
      <c r="B10998" t="s">
        <v>214</v>
      </c>
      <c r="C10998" s="2">
        <f>HYPERLINK("https://sao.dolgi.msk.ru/account/1404073761/", 1404073761)</f>
        <v>1404073761</v>
      </c>
      <c r="D10998">
        <v>0</v>
      </c>
    </row>
    <row r="10999" spans="1:4" hidden="1" x14ac:dyDescent="0.25">
      <c r="A10999" t="s">
        <v>703</v>
      </c>
      <c r="B10999" t="s">
        <v>215</v>
      </c>
      <c r="C10999" s="2">
        <f>HYPERLINK("https://sao.dolgi.msk.ru/account/1404091425/", 1404091425)</f>
        <v>1404091425</v>
      </c>
      <c r="D10999">
        <v>0</v>
      </c>
    </row>
    <row r="11000" spans="1:4" hidden="1" x14ac:dyDescent="0.25">
      <c r="A11000" t="s">
        <v>703</v>
      </c>
      <c r="B11000" t="s">
        <v>216</v>
      </c>
      <c r="C11000" s="2">
        <f>HYPERLINK("https://sao.dolgi.msk.ru/account/1404091433/", 1404091433)</f>
        <v>1404091433</v>
      </c>
      <c r="D11000">
        <v>0</v>
      </c>
    </row>
    <row r="11001" spans="1:4" hidden="1" x14ac:dyDescent="0.25">
      <c r="A11001" t="s">
        <v>703</v>
      </c>
      <c r="B11001" t="s">
        <v>217</v>
      </c>
      <c r="C11001" s="2">
        <f>HYPERLINK("https://sao.dolgi.msk.ru/account/1404073788/", 1404073788)</f>
        <v>1404073788</v>
      </c>
      <c r="D11001">
        <v>-11913.81</v>
      </c>
    </row>
    <row r="11002" spans="1:4" hidden="1" x14ac:dyDescent="0.25">
      <c r="A11002" t="s">
        <v>703</v>
      </c>
      <c r="B11002" t="s">
        <v>218</v>
      </c>
      <c r="C11002" s="2">
        <f>HYPERLINK("https://sao.dolgi.msk.ru/account/1404073809/", 1404073809)</f>
        <v>1404073809</v>
      </c>
      <c r="D11002">
        <v>-117.96</v>
      </c>
    </row>
    <row r="11003" spans="1:4" hidden="1" x14ac:dyDescent="0.25">
      <c r="A11003" t="s">
        <v>703</v>
      </c>
      <c r="B11003" t="s">
        <v>219</v>
      </c>
      <c r="C11003" s="2">
        <f>HYPERLINK("https://sao.dolgi.msk.ru/account/1404073825/", 1404073825)</f>
        <v>1404073825</v>
      </c>
      <c r="D11003">
        <v>-6049.39</v>
      </c>
    </row>
    <row r="11004" spans="1:4" hidden="1" x14ac:dyDescent="0.25">
      <c r="A11004" t="s">
        <v>703</v>
      </c>
      <c r="B11004" t="s">
        <v>220</v>
      </c>
      <c r="C11004" s="2">
        <f>HYPERLINK("https://sao.dolgi.msk.ru/account/1404073841/", 1404073841)</f>
        <v>1404073841</v>
      </c>
      <c r="D11004">
        <v>-7971.68</v>
      </c>
    </row>
    <row r="11005" spans="1:4" hidden="1" x14ac:dyDescent="0.25">
      <c r="A11005" t="s">
        <v>703</v>
      </c>
      <c r="B11005" t="s">
        <v>221</v>
      </c>
      <c r="C11005" s="2">
        <f>HYPERLINK("https://sao.dolgi.msk.ru/account/1404073892/", 1404073892)</f>
        <v>1404073892</v>
      </c>
      <c r="D11005">
        <v>0</v>
      </c>
    </row>
    <row r="11006" spans="1:4" hidden="1" x14ac:dyDescent="0.25">
      <c r="A11006" t="s">
        <v>703</v>
      </c>
      <c r="B11006" t="s">
        <v>222</v>
      </c>
      <c r="C11006" s="2">
        <f>HYPERLINK("https://sao.dolgi.msk.ru/account/1404073905/", 1404073905)</f>
        <v>1404073905</v>
      </c>
      <c r="D11006">
        <v>-4639.2299999999996</v>
      </c>
    </row>
    <row r="11007" spans="1:4" x14ac:dyDescent="0.25">
      <c r="A11007" t="s">
        <v>703</v>
      </c>
      <c r="B11007" t="s">
        <v>223</v>
      </c>
      <c r="C11007" s="2">
        <f>HYPERLINK("https://sao.dolgi.msk.ru/account/1404073729/", 1404073729)</f>
        <v>1404073729</v>
      </c>
      <c r="D11007">
        <v>11571.68</v>
      </c>
    </row>
    <row r="11008" spans="1:4" hidden="1" x14ac:dyDescent="0.25">
      <c r="A11008" t="s">
        <v>703</v>
      </c>
      <c r="B11008" t="s">
        <v>224</v>
      </c>
      <c r="C11008" s="2">
        <f>HYPERLINK("https://sao.dolgi.msk.ru/account/1404073745/", 1404073745)</f>
        <v>1404073745</v>
      </c>
      <c r="D11008">
        <v>-9607.81</v>
      </c>
    </row>
    <row r="11009" spans="1:4" hidden="1" x14ac:dyDescent="0.25">
      <c r="A11009" t="s">
        <v>703</v>
      </c>
      <c r="B11009" t="s">
        <v>225</v>
      </c>
      <c r="C11009" s="2">
        <f>HYPERLINK("https://sao.dolgi.msk.ru/account/1404073753/", 1404073753)</f>
        <v>1404073753</v>
      </c>
      <c r="D11009">
        <v>-2426.73</v>
      </c>
    </row>
    <row r="11010" spans="1:4" hidden="1" x14ac:dyDescent="0.25">
      <c r="A11010" t="s">
        <v>703</v>
      </c>
      <c r="B11010" t="s">
        <v>226</v>
      </c>
      <c r="C11010" s="2">
        <f>HYPERLINK("https://sao.dolgi.msk.ru/account/1404073796/", 1404073796)</f>
        <v>1404073796</v>
      </c>
      <c r="D11010">
        <v>-6389.05</v>
      </c>
    </row>
    <row r="11011" spans="1:4" hidden="1" x14ac:dyDescent="0.25">
      <c r="A11011" t="s">
        <v>703</v>
      </c>
      <c r="B11011" t="s">
        <v>227</v>
      </c>
      <c r="C11011" s="2">
        <f>HYPERLINK("https://sao.dolgi.msk.ru/account/1404073817/", 1404073817)</f>
        <v>1404073817</v>
      </c>
      <c r="D11011">
        <v>-503.07</v>
      </c>
    </row>
    <row r="11012" spans="1:4" hidden="1" x14ac:dyDescent="0.25">
      <c r="A11012" t="s">
        <v>703</v>
      </c>
      <c r="B11012" t="s">
        <v>228</v>
      </c>
      <c r="C11012" s="2">
        <f>HYPERLINK("https://sao.dolgi.msk.ru/account/1404073833/", 1404073833)</f>
        <v>1404073833</v>
      </c>
      <c r="D11012">
        <v>-7383.4</v>
      </c>
    </row>
    <row r="11013" spans="1:4" hidden="1" x14ac:dyDescent="0.25">
      <c r="A11013" t="s">
        <v>703</v>
      </c>
      <c r="B11013" t="s">
        <v>229</v>
      </c>
      <c r="C11013" s="2">
        <f>HYPERLINK("https://sao.dolgi.msk.ru/account/1404073868/", 1404073868)</f>
        <v>1404073868</v>
      </c>
      <c r="D11013">
        <v>0</v>
      </c>
    </row>
    <row r="11014" spans="1:4" hidden="1" x14ac:dyDescent="0.25">
      <c r="A11014" t="s">
        <v>703</v>
      </c>
      <c r="B11014" t="s">
        <v>230</v>
      </c>
      <c r="C11014" s="2">
        <f>HYPERLINK("https://sao.dolgi.msk.ru/account/1404073876/", 1404073876)</f>
        <v>1404073876</v>
      </c>
      <c r="D11014">
        <v>-5743.13</v>
      </c>
    </row>
    <row r="11015" spans="1:4" hidden="1" x14ac:dyDescent="0.25">
      <c r="A11015" t="s">
        <v>703</v>
      </c>
      <c r="B11015" t="s">
        <v>231</v>
      </c>
      <c r="C11015" s="2">
        <f>HYPERLINK("https://sao.dolgi.msk.ru/account/1404073884/", 1404073884)</f>
        <v>1404073884</v>
      </c>
      <c r="D11015">
        <v>0</v>
      </c>
    </row>
    <row r="11016" spans="1:4" hidden="1" x14ac:dyDescent="0.25">
      <c r="A11016" t="s">
        <v>703</v>
      </c>
      <c r="B11016" t="s">
        <v>232</v>
      </c>
      <c r="C11016" s="2">
        <f>HYPERLINK("https://sao.dolgi.msk.ru/account/1404073964/", 1404073964)</f>
        <v>1404073964</v>
      </c>
      <c r="D11016">
        <v>-8476.41</v>
      </c>
    </row>
    <row r="11017" spans="1:4" hidden="1" x14ac:dyDescent="0.25">
      <c r="A11017" t="s">
        <v>703</v>
      </c>
      <c r="B11017" t="s">
        <v>233</v>
      </c>
      <c r="C11017" s="2">
        <f>HYPERLINK("https://sao.dolgi.msk.ru/account/1404074019/", 1404074019)</f>
        <v>1404074019</v>
      </c>
      <c r="D11017">
        <v>-9686.98</v>
      </c>
    </row>
    <row r="11018" spans="1:4" hidden="1" x14ac:dyDescent="0.25">
      <c r="A11018" t="s">
        <v>703</v>
      </c>
      <c r="B11018" t="s">
        <v>234</v>
      </c>
      <c r="C11018" s="2">
        <f>HYPERLINK("https://sao.dolgi.msk.ru/account/1404074035/", 1404074035)</f>
        <v>1404074035</v>
      </c>
      <c r="D11018">
        <v>-6671.99</v>
      </c>
    </row>
    <row r="11019" spans="1:4" hidden="1" x14ac:dyDescent="0.25">
      <c r="A11019" t="s">
        <v>703</v>
      </c>
      <c r="B11019" t="s">
        <v>235</v>
      </c>
      <c r="C11019" s="2">
        <f>HYPERLINK("https://sao.dolgi.msk.ru/account/1404074043/", 1404074043)</f>
        <v>1404074043</v>
      </c>
      <c r="D11019">
        <v>-6240.51</v>
      </c>
    </row>
    <row r="11020" spans="1:4" x14ac:dyDescent="0.25">
      <c r="A11020" t="s">
        <v>703</v>
      </c>
      <c r="B11020" t="s">
        <v>239</v>
      </c>
      <c r="C11020" s="2">
        <f>HYPERLINK("https://sao.dolgi.msk.ru/account/1404074078/", 1404074078)</f>
        <v>1404074078</v>
      </c>
      <c r="D11020">
        <v>7315.57</v>
      </c>
    </row>
    <row r="11021" spans="1:4" hidden="1" x14ac:dyDescent="0.25">
      <c r="A11021" t="s">
        <v>703</v>
      </c>
      <c r="B11021" t="s">
        <v>240</v>
      </c>
      <c r="C11021" s="2">
        <f>HYPERLINK("https://sao.dolgi.msk.ru/account/1404074094/", 1404074094)</f>
        <v>1404074094</v>
      </c>
      <c r="D11021">
        <v>0</v>
      </c>
    </row>
    <row r="11022" spans="1:4" hidden="1" x14ac:dyDescent="0.25">
      <c r="A11022" t="s">
        <v>703</v>
      </c>
      <c r="B11022" t="s">
        <v>241</v>
      </c>
      <c r="C11022" s="2">
        <f>HYPERLINK("https://sao.dolgi.msk.ru/account/1404074115/", 1404074115)</f>
        <v>1404074115</v>
      </c>
      <c r="D11022">
        <v>-563.85</v>
      </c>
    </row>
    <row r="11023" spans="1:4" hidden="1" x14ac:dyDescent="0.25">
      <c r="A11023" t="s">
        <v>703</v>
      </c>
      <c r="B11023" t="s">
        <v>242</v>
      </c>
      <c r="C11023" s="2">
        <f>HYPERLINK("https://sao.dolgi.msk.ru/account/1404074123/", 1404074123)</f>
        <v>1404074123</v>
      </c>
      <c r="D11023">
        <v>-3026.16</v>
      </c>
    </row>
    <row r="11024" spans="1:4" hidden="1" x14ac:dyDescent="0.25">
      <c r="A11024" t="s">
        <v>703</v>
      </c>
      <c r="B11024" t="s">
        <v>243</v>
      </c>
      <c r="C11024" s="2">
        <f>HYPERLINK("https://sao.dolgi.msk.ru/account/1404074131/", 1404074131)</f>
        <v>1404074131</v>
      </c>
      <c r="D11024">
        <v>-8066.39</v>
      </c>
    </row>
    <row r="11025" spans="1:4" hidden="1" x14ac:dyDescent="0.25">
      <c r="A11025" t="s">
        <v>703</v>
      </c>
      <c r="B11025" t="s">
        <v>244</v>
      </c>
      <c r="C11025" s="2">
        <f>HYPERLINK("https://sao.dolgi.msk.ru/account/1404074158/", 1404074158)</f>
        <v>1404074158</v>
      </c>
      <c r="D11025">
        <v>-8950.2099999999991</v>
      </c>
    </row>
    <row r="11026" spans="1:4" hidden="1" x14ac:dyDescent="0.25">
      <c r="A11026" t="s">
        <v>703</v>
      </c>
      <c r="B11026" t="s">
        <v>245</v>
      </c>
      <c r="C11026" s="2">
        <f>HYPERLINK("https://sao.dolgi.msk.ru/account/1404074166/", 1404074166)</f>
        <v>1404074166</v>
      </c>
      <c r="D11026">
        <v>-5937.63</v>
      </c>
    </row>
    <row r="11027" spans="1:4" hidden="1" x14ac:dyDescent="0.25">
      <c r="A11027" t="s">
        <v>703</v>
      </c>
      <c r="B11027" t="s">
        <v>246</v>
      </c>
      <c r="C11027" s="2">
        <f>HYPERLINK("https://sao.dolgi.msk.ru/account/1404074174/", 1404074174)</f>
        <v>1404074174</v>
      </c>
      <c r="D11027">
        <v>-8882.7800000000007</v>
      </c>
    </row>
    <row r="11028" spans="1:4" hidden="1" x14ac:dyDescent="0.25">
      <c r="A11028" t="s">
        <v>703</v>
      </c>
      <c r="B11028" t="s">
        <v>247</v>
      </c>
      <c r="C11028" s="2">
        <f>HYPERLINK("https://sao.dolgi.msk.ru/account/1404074182/", 1404074182)</f>
        <v>1404074182</v>
      </c>
      <c r="D11028">
        <v>-8720.73</v>
      </c>
    </row>
    <row r="11029" spans="1:4" x14ac:dyDescent="0.25">
      <c r="A11029" t="s">
        <v>703</v>
      </c>
      <c r="B11029" t="s">
        <v>248</v>
      </c>
      <c r="C11029" s="2">
        <f>HYPERLINK("https://sao.dolgi.msk.ru/account/1404074203/", 1404074203)</f>
        <v>1404074203</v>
      </c>
      <c r="D11029">
        <v>13649.18</v>
      </c>
    </row>
    <row r="11030" spans="1:4" x14ac:dyDescent="0.25">
      <c r="A11030" t="s">
        <v>703</v>
      </c>
      <c r="B11030" t="s">
        <v>248</v>
      </c>
      <c r="C11030" s="2">
        <f>HYPERLINK("https://sao.dolgi.msk.ru/account/1404091206/", 1404091206)</f>
        <v>1404091206</v>
      </c>
      <c r="D11030">
        <v>10866.8</v>
      </c>
    </row>
    <row r="11031" spans="1:4" hidden="1" x14ac:dyDescent="0.25">
      <c r="A11031" t="s">
        <v>703</v>
      </c>
      <c r="B11031" t="s">
        <v>249</v>
      </c>
      <c r="C11031" s="2">
        <f>HYPERLINK("https://sao.dolgi.msk.ru/account/1404074246/", 1404074246)</f>
        <v>1404074246</v>
      </c>
      <c r="D11031">
        <v>-7898.43</v>
      </c>
    </row>
    <row r="11032" spans="1:4" hidden="1" x14ac:dyDescent="0.25">
      <c r="A11032" t="s">
        <v>703</v>
      </c>
      <c r="B11032" t="s">
        <v>250</v>
      </c>
      <c r="C11032" s="2">
        <f>HYPERLINK("https://sao.dolgi.msk.ru/account/1404074262/", 1404074262)</f>
        <v>1404074262</v>
      </c>
      <c r="D11032">
        <v>-7313.89</v>
      </c>
    </row>
    <row r="11033" spans="1:4" hidden="1" x14ac:dyDescent="0.25">
      <c r="A11033" t="s">
        <v>703</v>
      </c>
      <c r="B11033" t="s">
        <v>251</v>
      </c>
      <c r="C11033" s="2">
        <f>HYPERLINK("https://sao.dolgi.msk.ru/account/1404073921/", 1404073921)</f>
        <v>1404073921</v>
      </c>
      <c r="D11033">
        <v>-7567.42</v>
      </c>
    </row>
    <row r="11034" spans="1:4" x14ac:dyDescent="0.25">
      <c r="A11034" t="s">
        <v>703</v>
      </c>
      <c r="B11034" t="s">
        <v>252</v>
      </c>
      <c r="C11034" s="2">
        <f>HYPERLINK("https://sao.dolgi.msk.ru/account/1404073948/", 1404073948)</f>
        <v>1404073948</v>
      </c>
      <c r="D11034">
        <v>11464.1</v>
      </c>
    </row>
    <row r="11035" spans="1:4" hidden="1" x14ac:dyDescent="0.25">
      <c r="A11035" t="s">
        <v>703</v>
      </c>
      <c r="B11035" t="s">
        <v>253</v>
      </c>
      <c r="C11035" s="2">
        <f>HYPERLINK("https://sao.dolgi.msk.ru/account/1404073956/", 1404073956)</f>
        <v>1404073956</v>
      </c>
      <c r="D11035">
        <v>-5933.93</v>
      </c>
    </row>
    <row r="11036" spans="1:4" hidden="1" x14ac:dyDescent="0.25">
      <c r="A11036" t="s">
        <v>703</v>
      </c>
      <c r="B11036" t="s">
        <v>254</v>
      </c>
      <c r="C11036" s="2">
        <f>HYPERLINK("https://sao.dolgi.msk.ru/account/1404073972/", 1404073972)</f>
        <v>1404073972</v>
      </c>
      <c r="D11036">
        <v>-6776.31</v>
      </c>
    </row>
    <row r="11037" spans="1:4" hidden="1" x14ac:dyDescent="0.25">
      <c r="A11037" t="s">
        <v>703</v>
      </c>
      <c r="B11037" t="s">
        <v>255</v>
      </c>
      <c r="C11037" s="2">
        <f>HYPERLINK("https://sao.dolgi.msk.ru/account/1404073999/", 1404073999)</f>
        <v>1404073999</v>
      </c>
      <c r="D11037">
        <v>-8672</v>
      </c>
    </row>
    <row r="11038" spans="1:4" hidden="1" x14ac:dyDescent="0.25">
      <c r="A11038" t="s">
        <v>703</v>
      </c>
      <c r="B11038" t="s">
        <v>256</v>
      </c>
      <c r="C11038" s="2">
        <f>HYPERLINK("https://sao.dolgi.msk.ru/account/1404074027/", 1404074027)</f>
        <v>1404074027</v>
      </c>
      <c r="D11038">
        <v>-10015.620000000001</v>
      </c>
    </row>
    <row r="11039" spans="1:4" hidden="1" x14ac:dyDescent="0.25">
      <c r="A11039" t="s">
        <v>703</v>
      </c>
      <c r="B11039" t="s">
        <v>257</v>
      </c>
      <c r="C11039" s="2">
        <f>HYPERLINK("https://sao.dolgi.msk.ru/account/1404074051/", 1404074051)</f>
        <v>1404074051</v>
      </c>
      <c r="D11039">
        <v>0</v>
      </c>
    </row>
    <row r="11040" spans="1:4" hidden="1" x14ac:dyDescent="0.25">
      <c r="A11040" t="s">
        <v>703</v>
      </c>
      <c r="B11040" t="s">
        <v>258</v>
      </c>
      <c r="C11040" s="2">
        <f>HYPERLINK("https://sao.dolgi.msk.ru/account/1404074086/", 1404074086)</f>
        <v>1404074086</v>
      </c>
      <c r="D11040">
        <v>-12202.2</v>
      </c>
    </row>
    <row r="11041" spans="1:4" hidden="1" x14ac:dyDescent="0.25">
      <c r="A11041" t="s">
        <v>703</v>
      </c>
      <c r="B11041" t="s">
        <v>259</v>
      </c>
      <c r="C11041" s="2">
        <f>HYPERLINK("https://sao.dolgi.msk.ru/account/1404074107/", 1404074107)</f>
        <v>1404074107</v>
      </c>
      <c r="D11041">
        <v>-7886.51</v>
      </c>
    </row>
    <row r="11042" spans="1:4" hidden="1" x14ac:dyDescent="0.25">
      <c r="A11042" t="s">
        <v>703</v>
      </c>
      <c r="B11042" t="s">
        <v>260</v>
      </c>
      <c r="C11042" s="2">
        <f>HYPERLINK("https://sao.dolgi.msk.ru/account/1404074211/", 1404074211)</f>
        <v>1404074211</v>
      </c>
      <c r="D11042">
        <v>-9398.02</v>
      </c>
    </row>
    <row r="11043" spans="1:4" hidden="1" x14ac:dyDescent="0.25">
      <c r="A11043" t="s">
        <v>703</v>
      </c>
      <c r="B11043" t="s">
        <v>261</v>
      </c>
      <c r="C11043" s="2">
        <f>HYPERLINK("https://sao.dolgi.msk.ru/account/1404074238/", 1404074238)</f>
        <v>1404074238</v>
      </c>
      <c r="D11043">
        <v>-5617.38</v>
      </c>
    </row>
    <row r="11044" spans="1:4" hidden="1" x14ac:dyDescent="0.25">
      <c r="A11044" t="s">
        <v>703</v>
      </c>
      <c r="B11044" t="s">
        <v>262</v>
      </c>
      <c r="C11044" s="2">
        <f>HYPERLINK("https://sao.dolgi.msk.ru/account/1404074254/", 1404074254)</f>
        <v>1404074254</v>
      </c>
      <c r="D11044">
        <v>-5914.82</v>
      </c>
    </row>
    <row r="11045" spans="1:4" hidden="1" x14ac:dyDescent="0.25">
      <c r="A11045" t="s">
        <v>703</v>
      </c>
      <c r="B11045" t="s">
        <v>263</v>
      </c>
      <c r="C11045" s="2">
        <f>HYPERLINK("https://sao.dolgi.msk.ru/account/1404074289/", 1404074289)</f>
        <v>1404074289</v>
      </c>
      <c r="D11045">
        <v>-7965.26</v>
      </c>
    </row>
    <row r="11046" spans="1:4" x14ac:dyDescent="0.25">
      <c r="A11046" t="s">
        <v>703</v>
      </c>
      <c r="B11046" t="s">
        <v>264</v>
      </c>
      <c r="C11046" s="2">
        <f>HYPERLINK("https://sao.dolgi.msk.ru/account/1404074297/", 1404074297)</f>
        <v>1404074297</v>
      </c>
      <c r="D11046">
        <v>114993.65</v>
      </c>
    </row>
    <row r="11047" spans="1:4" hidden="1" x14ac:dyDescent="0.25">
      <c r="A11047" t="s">
        <v>703</v>
      </c>
      <c r="B11047" t="s">
        <v>265</v>
      </c>
      <c r="C11047" s="2">
        <f>HYPERLINK("https://sao.dolgi.msk.ru/account/1404074318/", 1404074318)</f>
        <v>1404074318</v>
      </c>
      <c r="D11047">
        <v>-7065.69</v>
      </c>
    </row>
    <row r="11048" spans="1:4" hidden="1" x14ac:dyDescent="0.25">
      <c r="A11048" t="s">
        <v>703</v>
      </c>
      <c r="B11048" t="s">
        <v>266</v>
      </c>
      <c r="C11048" s="2">
        <f>HYPERLINK("https://sao.dolgi.msk.ru/account/1404074326/", 1404074326)</f>
        <v>1404074326</v>
      </c>
      <c r="D11048">
        <v>0</v>
      </c>
    </row>
    <row r="11049" spans="1:4" hidden="1" x14ac:dyDescent="0.25">
      <c r="A11049" t="s">
        <v>703</v>
      </c>
      <c r="B11049" t="s">
        <v>267</v>
      </c>
      <c r="C11049" s="2">
        <f>HYPERLINK("https://sao.dolgi.msk.ru/account/1404074334/", 1404074334)</f>
        <v>1404074334</v>
      </c>
      <c r="D11049">
        <v>-8106.37</v>
      </c>
    </row>
    <row r="11050" spans="1:4" hidden="1" x14ac:dyDescent="0.25">
      <c r="A11050" t="s">
        <v>703</v>
      </c>
      <c r="B11050" t="s">
        <v>268</v>
      </c>
      <c r="C11050" s="2">
        <f>HYPERLINK("https://sao.dolgi.msk.ru/account/1404074342/", 1404074342)</f>
        <v>1404074342</v>
      </c>
      <c r="D11050">
        <v>0</v>
      </c>
    </row>
    <row r="11051" spans="1:4" hidden="1" x14ac:dyDescent="0.25">
      <c r="A11051" t="s">
        <v>703</v>
      </c>
      <c r="B11051" t="s">
        <v>269</v>
      </c>
      <c r="C11051" s="2">
        <f>HYPERLINK("https://sao.dolgi.msk.ru/account/1404074369/", 1404074369)</f>
        <v>1404074369</v>
      </c>
      <c r="D11051">
        <v>-6471.29</v>
      </c>
    </row>
    <row r="11052" spans="1:4" hidden="1" x14ac:dyDescent="0.25">
      <c r="A11052" t="s">
        <v>703</v>
      </c>
      <c r="B11052" t="s">
        <v>270</v>
      </c>
      <c r="C11052" s="2">
        <f>HYPERLINK("https://sao.dolgi.msk.ru/account/1404074377/", 1404074377)</f>
        <v>1404074377</v>
      </c>
      <c r="D11052">
        <v>-7045.23</v>
      </c>
    </row>
    <row r="11053" spans="1:4" x14ac:dyDescent="0.25">
      <c r="A11053" t="s">
        <v>703</v>
      </c>
      <c r="B11053" t="s">
        <v>271</v>
      </c>
      <c r="C11053" s="2">
        <f>HYPERLINK("https://sao.dolgi.msk.ru/account/1404074385/", 1404074385)</f>
        <v>1404074385</v>
      </c>
      <c r="D11053">
        <v>9635.11</v>
      </c>
    </row>
    <row r="11054" spans="1:4" hidden="1" x14ac:dyDescent="0.25">
      <c r="A11054" t="s">
        <v>704</v>
      </c>
      <c r="B11054" t="s">
        <v>5</v>
      </c>
      <c r="C11054" s="2">
        <f>HYPERLINK("https://sao.dolgi.msk.ru/account/1404290985/", 1404290985)</f>
        <v>1404290985</v>
      </c>
      <c r="D11054">
        <v>-5434.2</v>
      </c>
    </row>
    <row r="11055" spans="1:4" hidden="1" x14ac:dyDescent="0.25">
      <c r="A11055" t="s">
        <v>704</v>
      </c>
      <c r="B11055" t="s">
        <v>6</v>
      </c>
      <c r="C11055" s="2">
        <f>HYPERLINK("https://sao.dolgi.msk.ru/account/1404290934/", 1404290934)</f>
        <v>1404290934</v>
      </c>
      <c r="D11055">
        <v>-4233.4399999999996</v>
      </c>
    </row>
    <row r="11056" spans="1:4" hidden="1" x14ac:dyDescent="0.25">
      <c r="A11056" t="s">
        <v>704</v>
      </c>
      <c r="B11056" t="s">
        <v>7</v>
      </c>
      <c r="C11056" s="2">
        <f>HYPERLINK("https://sao.dolgi.msk.ru/account/1404288543/", 1404288543)</f>
        <v>1404288543</v>
      </c>
      <c r="D11056">
        <v>-5373.17</v>
      </c>
    </row>
    <row r="11057" spans="1:4" x14ac:dyDescent="0.25">
      <c r="A11057" t="s">
        <v>704</v>
      </c>
      <c r="B11057" t="s">
        <v>8</v>
      </c>
      <c r="C11057" s="2">
        <f>HYPERLINK("https://sao.dolgi.msk.ru/account/1404289802/", 1404289802)</f>
        <v>1404289802</v>
      </c>
      <c r="D11057">
        <v>10739.5</v>
      </c>
    </row>
    <row r="11058" spans="1:4" x14ac:dyDescent="0.25">
      <c r="A11058" t="s">
        <v>704</v>
      </c>
      <c r="B11058" t="s">
        <v>9</v>
      </c>
      <c r="C11058" s="2">
        <f>HYPERLINK("https://sao.dolgi.msk.ru/account/1404287137/", 1404287137)</f>
        <v>1404287137</v>
      </c>
      <c r="D11058">
        <v>17762.259999999998</v>
      </c>
    </row>
    <row r="11059" spans="1:4" hidden="1" x14ac:dyDescent="0.25">
      <c r="A11059" t="s">
        <v>704</v>
      </c>
      <c r="B11059" t="s">
        <v>10</v>
      </c>
      <c r="C11059" s="2">
        <f>HYPERLINK("https://sao.dolgi.msk.ru/account/1404286935/", 1404286935)</f>
        <v>1404286935</v>
      </c>
      <c r="D11059">
        <v>-4978.79</v>
      </c>
    </row>
    <row r="11060" spans="1:4" x14ac:dyDescent="0.25">
      <c r="A11060" t="s">
        <v>704</v>
      </c>
      <c r="B11060" t="s">
        <v>11</v>
      </c>
      <c r="C11060" s="2">
        <f>HYPERLINK("https://sao.dolgi.msk.ru/account/1404292585/", 1404292585)</f>
        <v>1404292585</v>
      </c>
      <c r="D11060">
        <v>13948.71</v>
      </c>
    </row>
    <row r="11061" spans="1:4" x14ac:dyDescent="0.25">
      <c r="A11061" t="s">
        <v>704</v>
      </c>
      <c r="B11061" t="s">
        <v>12</v>
      </c>
      <c r="C11061" s="2">
        <f>HYPERLINK("https://sao.dolgi.msk.ru/account/1404292876/", 1404292876)</f>
        <v>1404292876</v>
      </c>
      <c r="D11061">
        <v>15473.03</v>
      </c>
    </row>
    <row r="11062" spans="1:4" hidden="1" x14ac:dyDescent="0.25">
      <c r="A11062" t="s">
        <v>704</v>
      </c>
      <c r="B11062" t="s">
        <v>13</v>
      </c>
      <c r="C11062" s="2">
        <f>HYPERLINK("https://sao.dolgi.msk.ru/account/1404286273/", 1404286273)</f>
        <v>1404286273</v>
      </c>
      <c r="D11062">
        <v>0</v>
      </c>
    </row>
    <row r="11063" spans="1:4" hidden="1" x14ac:dyDescent="0.25">
      <c r="A11063" t="s">
        <v>704</v>
      </c>
      <c r="B11063" t="s">
        <v>14</v>
      </c>
      <c r="C11063" s="2">
        <f>HYPERLINK("https://sao.dolgi.msk.ru/account/1404286599/", 1404286599)</f>
        <v>1404286599</v>
      </c>
      <c r="D11063">
        <v>-6046.39</v>
      </c>
    </row>
    <row r="11064" spans="1:4" hidden="1" x14ac:dyDescent="0.25">
      <c r="A11064" t="s">
        <v>704</v>
      </c>
      <c r="B11064" t="s">
        <v>15</v>
      </c>
      <c r="C11064" s="2">
        <f>HYPERLINK("https://sao.dolgi.msk.ru/account/1404290635/", 1404290635)</f>
        <v>1404290635</v>
      </c>
      <c r="D11064">
        <v>-1297.76</v>
      </c>
    </row>
    <row r="11065" spans="1:4" hidden="1" x14ac:dyDescent="0.25">
      <c r="A11065" t="s">
        <v>704</v>
      </c>
      <c r="B11065" t="s">
        <v>16</v>
      </c>
      <c r="C11065" s="2">
        <f>HYPERLINK("https://sao.dolgi.msk.ru/account/1404288551/", 1404288551)</f>
        <v>1404288551</v>
      </c>
      <c r="D11065">
        <v>-5016.6099999999997</v>
      </c>
    </row>
    <row r="11066" spans="1:4" x14ac:dyDescent="0.25">
      <c r="A11066" t="s">
        <v>704</v>
      </c>
      <c r="B11066" t="s">
        <v>17</v>
      </c>
      <c r="C11066" s="2">
        <f>HYPERLINK("https://sao.dolgi.msk.ru/account/1404291865/", 1404291865)</f>
        <v>1404291865</v>
      </c>
      <c r="D11066">
        <v>3139.56</v>
      </c>
    </row>
    <row r="11067" spans="1:4" x14ac:dyDescent="0.25">
      <c r="A11067" t="s">
        <v>704</v>
      </c>
      <c r="B11067" t="s">
        <v>18</v>
      </c>
      <c r="C11067" s="2">
        <f>HYPERLINK("https://sao.dolgi.msk.ru/account/1404292091/", 1404292091)</f>
        <v>1404292091</v>
      </c>
      <c r="D11067">
        <v>1289.33</v>
      </c>
    </row>
    <row r="11068" spans="1:4" hidden="1" x14ac:dyDescent="0.25">
      <c r="A11068" t="s">
        <v>704</v>
      </c>
      <c r="B11068" t="s">
        <v>19</v>
      </c>
      <c r="C11068" s="2">
        <f>HYPERLINK("https://sao.dolgi.msk.ru/account/1404286388/", 1404286388)</f>
        <v>1404286388</v>
      </c>
      <c r="D11068">
        <v>0</v>
      </c>
    </row>
    <row r="11069" spans="1:4" hidden="1" x14ac:dyDescent="0.25">
      <c r="A11069" t="s">
        <v>704</v>
      </c>
      <c r="B11069" t="s">
        <v>19</v>
      </c>
      <c r="C11069" s="2">
        <f>HYPERLINK("https://sao.dolgi.msk.ru/account/1404291531/", 1404291531)</f>
        <v>1404291531</v>
      </c>
      <c r="D11069">
        <v>0</v>
      </c>
    </row>
    <row r="11070" spans="1:4" x14ac:dyDescent="0.25">
      <c r="A11070" t="s">
        <v>704</v>
      </c>
      <c r="B11070" t="s">
        <v>20</v>
      </c>
      <c r="C11070" s="2">
        <f>HYPERLINK("https://sao.dolgi.msk.ru/account/1404287452/", 1404287452)</f>
        <v>1404287452</v>
      </c>
      <c r="D11070">
        <v>29230.69</v>
      </c>
    </row>
    <row r="11071" spans="1:4" hidden="1" x14ac:dyDescent="0.25">
      <c r="A11071" t="s">
        <v>704</v>
      </c>
      <c r="B11071" t="s">
        <v>21</v>
      </c>
      <c r="C11071" s="2">
        <f>HYPERLINK("https://sao.dolgi.msk.ru/account/1404291005/", 1404291005)</f>
        <v>1404291005</v>
      </c>
      <c r="D11071">
        <v>-4959.16</v>
      </c>
    </row>
    <row r="11072" spans="1:4" hidden="1" x14ac:dyDescent="0.25">
      <c r="A11072" t="s">
        <v>704</v>
      </c>
      <c r="B11072" t="s">
        <v>22</v>
      </c>
      <c r="C11072" s="2">
        <f>HYPERLINK("https://sao.dolgi.msk.ru/account/1404290758/", 1404290758)</f>
        <v>1404290758</v>
      </c>
      <c r="D11072">
        <v>-5594.13</v>
      </c>
    </row>
    <row r="11073" spans="1:4" hidden="1" x14ac:dyDescent="0.25">
      <c r="A11073" t="s">
        <v>704</v>
      </c>
      <c r="B11073" t="s">
        <v>23</v>
      </c>
      <c r="C11073" s="2">
        <f>HYPERLINK("https://sao.dolgi.msk.ru/account/1404291136/", 1404291136)</f>
        <v>1404291136</v>
      </c>
      <c r="D11073">
        <v>-5660.34</v>
      </c>
    </row>
    <row r="11074" spans="1:4" hidden="1" x14ac:dyDescent="0.25">
      <c r="A11074" t="s">
        <v>704</v>
      </c>
      <c r="B11074" t="s">
        <v>24</v>
      </c>
      <c r="C11074" s="2">
        <f>HYPERLINK("https://sao.dolgi.msk.ru/account/1404293019/", 1404293019)</f>
        <v>1404293019</v>
      </c>
      <c r="D11074">
        <v>0</v>
      </c>
    </row>
    <row r="11075" spans="1:4" hidden="1" x14ac:dyDescent="0.25">
      <c r="A11075" t="s">
        <v>704</v>
      </c>
      <c r="B11075" t="s">
        <v>25</v>
      </c>
      <c r="C11075" s="2">
        <f>HYPERLINK("https://sao.dolgi.msk.ru/account/1404286695/", 1404286695)</f>
        <v>1404286695</v>
      </c>
      <c r="D11075">
        <v>-5514.65</v>
      </c>
    </row>
    <row r="11076" spans="1:4" x14ac:dyDescent="0.25">
      <c r="A11076" t="s">
        <v>704</v>
      </c>
      <c r="B11076" t="s">
        <v>26</v>
      </c>
      <c r="C11076" s="2">
        <f>HYPERLINK("https://sao.dolgi.msk.ru/account/1404291611/", 1404291611)</f>
        <v>1404291611</v>
      </c>
      <c r="D11076">
        <v>35995.15</v>
      </c>
    </row>
    <row r="11077" spans="1:4" hidden="1" x14ac:dyDescent="0.25">
      <c r="A11077" t="s">
        <v>704</v>
      </c>
      <c r="B11077" t="s">
        <v>27</v>
      </c>
      <c r="C11077" s="2">
        <f>HYPERLINK("https://sao.dolgi.msk.ru/account/1404291064/", 1404291064)</f>
        <v>1404291064</v>
      </c>
      <c r="D11077">
        <v>-6683.27</v>
      </c>
    </row>
    <row r="11078" spans="1:4" hidden="1" x14ac:dyDescent="0.25">
      <c r="A11078" t="s">
        <v>704</v>
      </c>
      <c r="B11078" t="s">
        <v>28</v>
      </c>
      <c r="C11078" s="2">
        <f>HYPERLINK("https://sao.dolgi.msk.ru/account/1404290838/", 1404290838)</f>
        <v>1404290838</v>
      </c>
      <c r="D11078">
        <v>-4922.71</v>
      </c>
    </row>
    <row r="11079" spans="1:4" hidden="1" x14ac:dyDescent="0.25">
      <c r="A11079" t="s">
        <v>704</v>
      </c>
      <c r="B11079" t="s">
        <v>29</v>
      </c>
      <c r="C11079" s="2">
        <f>HYPERLINK("https://sao.dolgi.msk.ru/account/1404289335/", 1404289335)</f>
        <v>1404289335</v>
      </c>
      <c r="D11079">
        <v>-5612.19</v>
      </c>
    </row>
    <row r="11080" spans="1:4" hidden="1" x14ac:dyDescent="0.25">
      <c r="A11080" t="s">
        <v>704</v>
      </c>
      <c r="B11080" t="s">
        <v>30</v>
      </c>
      <c r="C11080" s="2">
        <f>HYPERLINK("https://sao.dolgi.msk.ru/account/1404292008/", 1404292008)</f>
        <v>1404292008</v>
      </c>
      <c r="D11080">
        <v>-7435.98</v>
      </c>
    </row>
    <row r="11081" spans="1:4" hidden="1" x14ac:dyDescent="0.25">
      <c r="A11081" t="s">
        <v>704</v>
      </c>
      <c r="B11081" t="s">
        <v>31</v>
      </c>
      <c r="C11081" s="2">
        <f>HYPERLINK("https://sao.dolgi.msk.ru/account/1404293609/", 1404293609)</f>
        <v>1404293609</v>
      </c>
      <c r="D11081">
        <v>-3894.41</v>
      </c>
    </row>
    <row r="11082" spans="1:4" hidden="1" x14ac:dyDescent="0.25">
      <c r="A11082" t="s">
        <v>704</v>
      </c>
      <c r="B11082" t="s">
        <v>32</v>
      </c>
      <c r="C11082" s="2">
        <f>HYPERLINK("https://sao.dolgi.msk.ru/account/1404292198/", 1404292198)</f>
        <v>1404292198</v>
      </c>
      <c r="D11082">
        <v>-76.59</v>
      </c>
    </row>
    <row r="11083" spans="1:4" hidden="1" x14ac:dyDescent="0.25">
      <c r="A11083" t="s">
        <v>704</v>
      </c>
      <c r="B11083" t="s">
        <v>33</v>
      </c>
      <c r="C11083" s="2">
        <f>HYPERLINK("https://sao.dolgi.msk.ru/account/1404292542/", 1404292542)</f>
        <v>1404292542</v>
      </c>
      <c r="D11083">
        <v>0</v>
      </c>
    </row>
    <row r="11084" spans="1:4" hidden="1" x14ac:dyDescent="0.25">
      <c r="A11084" t="s">
        <v>704</v>
      </c>
      <c r="B11084" t="s">
        <v>34</v>
      </c>
      <c r="C11084" s="2">
        <f>HYPERLINK("https://sao.dolgi.msk.ru/account/1404290969/", 1404290969)</f>
        <v>1404290969</v>
      </c>
      <c r="D11084">
        <v>-6213.52</v>
      </c>
    </row>
    <row r="11085" spans="1:4" hidden="1" x14ac:dyDescent="0.25">
      <c r="A11085" t="s">
        <v>704</v>
      </c>
      <c r="B11085" t="s">
        <v>35</v>
      </c>
      <c r="C11085" s="2">
        <f>HYPERLINK("https://sao.dolgi.msk.ru/account/1404287604/", 1404287604)</f>
        <v>1404287604</v>
      </c>
      <c r="D11085">
        <v>-4701.17</v>
      </c>
    </row>
    <row r="11086" spans="1:4" hidden="1" x14ac:dyDescent="0.25">
      <c r="A11086" t="s">
        <v>704</v>
      </c>
      <c r="B11086" t="s">
        <v>36</v>
      </c>
      <c r="C11086" s="2">
        <f>HYPERLINK("https://sao.dolgi.msk.ru/account/1404286361/", 1404286361)</f>
        <v>1404286361</v>
      </c>
      <c r="D11086">
        <v>-4379.2700000000004</v>
      </c>
    </row>
    <row r="11087" spans="1:4" x14ac:dyDescent="0.25">
      <c r="A11087" t="s">
        <v>704</v>
      </c>
      <c r="B11087" t="s">
        <v>37</v>
      </c>
      <c r="C11087" s="2">
        <f>HYPERLINK("https://sao.dolgi.msk.ru/account/1404288957/", 1404288957)</f>
        <v>1404288957</v>
      </c>
      <c r="D11087">
        <v>35625.58</v>
      </c>
    </row>
    <row r="11088" spans="1:4" x14ac:dyDescent="0.25">
      <c r="A11088" t="s">
        <v>704</v>
      </c>
      <c r="B11088" t="s">
        <v>38</v>
      </c>
      <c r="C11088" s="2">
        <f>HYPERLINK("https://sao.dolgi.msk.ru/account/1404291259/", 1404291259)</f>
        <v>1404291259</v>
      </c>
      <c r="D11088">
        <v>8421.6</v>
      </c>
    </row>
    <row r="11089" spans="1:4" x14ac:dyDescent="0.25">
      <c r="A11089" t="s">
        <v>704</v>
      </c>
      <c r="B11089" t="s">
        <v>39</v>
      </c>
      <c r="C11089" s="2">
        <f>HYPERLINK("https://sao.dolgi.msk.ru/account/1404287516/", 1404287516)</f>
        <v>1404287516</v>
      </c>
      <c r="D11089">
        <v>1661.69</v>
      </c>
    </row>
    <row r="11090" spans="1:4" hidden="1" x14ac:dyDescent="0.25">
      <c r="A11090" t="s">
        <v>704</v>
      </c>
      <c r="B11090" t="s">
        <v>40</v>
      </c>
      <c r="C11090" s="2">
        <f>HYPERLINK("https://sao.dolgi.msk.ru/account/1404286943/", 1404286943)</f>
        <v>1404286943</v>
      </c>
      <c r="D11090">
        <v>0</v>
      </c>
    </row>
    <row r="11091" spans="1:4" hidden="1" x14ac:dyDescent="0.25">
      <c r="A11091" t="s">
        <v>704</v>
      </c>
      <c r="B11091" t="s">
        <v>41</v>
      </c>
      <c r="C11091" s="2">
        <f>HYPERLINK("https://sao.dolgi.msk.ru/account/1404293035/", 1404293035)</f>
        <v>1404293035</v>
      </c>
      <c r="D11091">
        <v>0</v>
      </c>
    </row>
    <row r="11092" spans="1:4" hidden="1" x14ac:dyDescent="0.25">
      <c r="A11092" t="s">
        <v>704</v>
      </c>
      <c r="B11092" t="s">
        <v>42</v>
      </c>
      <c r="C11092" s="2">
        <f>HYPERLINK("https://sao.dolgi.msk.ru/account/1404291056/", 1404291056)</f>
        <v>1404291056</v>
      </c>
      <c r="D11092">
        <v>0</v>
      </c>
    </row>
    <row r="11093" spans="1:4" hidden="1" x14ac:dyDescent="0.25">
      <c r="A11093" t="s">
        <v>704</v>
      </c>
      <c r="B11093" t="s">
        <v>43</v>
      </c>
      <c r="C11093" s="2">
        <f>HYPERLINK("https://sao.dolgi.msk.ru/account/1404288535/", 1404288535)</f>
        <v>1404288535</v>
      </c>
      <c r="D11093">
        <v>0</v>
      </c>
    </row>
    <row r="11094" spans="1:4" hidden="1" x14ac:dyDescent="0.25">
      <c r="A11094" t="s">
        <v>704</v>
      </c>
      <c r="B11094" t="s">
        <v>44</v>
      </c>
      <c r="C11094" s="2">
        <f>HYPERLINK("https://sao.dolgi.msk.ru/account/1404289095/", 1404289095)</f>
        <v>1404289095</v>
      </c>
      <c r="D11094">
        <v>0</v>
      </c>
    </row>
    <row r="11095" spans="1:4" hidden="1" x14ac:dyDescent="0.25">
      <c r="A11095" t="s">
        <v>704</v>
      </c>
      <c r="B11095" t="s">
        <v>45</v>
      </c>
      <c r="C11095" s="2">
        <f>HYPERLINK("https://sao.dolgi.msk.ru/account/1404291582/", 1404291582)</f>
        <v>1404291582</v>
      </c>
      <c r="D11095">
        <v>-7636.45</v>
      </c>
    </row>
    <row r="11096" spans="1:4" hidden="1" x14ac:dyDescent="0.25">
      <c r="A11096" t="s">
        <v>704</v>
      </c>
      <c r="B11096" t="s">
        <v>46</v>
      </c>
      <c r="C11096" s="2">
        <f>HYPERLINK("https://sao.dolgi.msk.ru/account/1404292796/", 1404292796)</f>
        <v>1404292796</v>
      </c>
      <c r="D11096">
        <v>0</v>
      </c>
    </row>
    <row r="11097" spans="1:4" hidden="1" x14ac:dyDescent="0.25">
      <c r="A11097" t="s">
        <v>704</v>
      </c>
      <c r="B11097" t="s">
        <v>47</v>
      </c>
      <c r="C11097" s="2">
        <f>HYPERLINK("https://sao.dolgi.msk.ru/account/1404287495/", 1404287495)</f>
        <v>1404287495</v>
      </c>
      <c r="D11097">
        <v>0</v>
      </c>
    </row>
    <row r="11098" spans="1:4" hidden="1" x14ac:dyDescent="0.25">
      <c r="A11098" t="s">
        <v>704</v>
      </c>
      <c r="B11098" t="s">
        <v>48</v>
      </c>
      <c r="C11098" s="2">
        <f>HYPERLINK("https://sao.dolgi.msk.ru/account/1404289984/", 1404289984)</f>
        <v>1404289984</v>
      </c>
      <c r="D11098">
        <v>-7536.11</v>
      </c>
    </row>
    <row r="11099" spans="1:4" hidden="1" x14ac:dyDescent="0.25">
      <c r="A11099" t="s">
        <v>704</v>
      </c>
      <c r="B11099" t="s">
        <v>49</v>
      </c>
      <c r="C11099" s="2">
        <f>HYPERLINK("https://sao.dolgi.msk.ru/account/1404293641/", 1404293641)</f>
        <v>1404293641</v>
      </c>
      <c r="D11099">
        <v>-4489.43</v>
      </c>
    </row>
    <row r="11100" spans="1:4" hidden="1" x14ac:dyDescent="0.25">
      <c r="A11100" t="s">
        <v>704</v>
      </c>
      <c r="B11100" t="s">
        <v>50</v>
      </c>
      <c r="C11100" s="2">
        <f>HYPERLINK("https://sao.dolgi.msk.ru/account/1404289589/", 1404289589)</f>
        <v>1404289589</v>
      </c>
      <c r="D11100">
        <v>-5952.4</v>
      </c>
    </row>
    <row r="11101" spans="1:4" hidden="1" x14ac:dyDescent="0.25">
      <c r="A11101" t="s">
        <v>704</v>
      </c>
      <c r="B11101" t="s">
        <v>51</v>
      </c>
      <c r="C11101" s="2">
        <f>HYPERLINK("https://sao.dolgi.msk.ru/account/1404290627/", 1404290627)</f>
        <v>1404290627</v>
      </c>
      <c r="D11101">
        <v>-6670.38</v>
      </c>
    </row>
    <row r="11102" spans="1:4" hidden="1" x14ac:dyDescent="0.25">
      <c r="A11102" t="s">
        <v>704</v>
      </c>
      <c r="B11102" t="s">
        <v>52</v>
      </c>
      <c r="C11102" s="2">
        <f>HYPERLINK("https://sao.dolgi.msk.ru/account/1404290133/", 1404290133)</f>
        <v>1404290133</v>
      </c>
      <c r="D11102">
        <v>-5112.79</v>
      </c>
    </row>
    <row r="11103" spans="1:4" hidden="1" x14ac:dyDescent="0.25">
      <c r="A11103" t="s">
        <v>704</v>
      </c>
      <c r="B11103" t="s">
        <v>53</v>
      </c>
      <c r="C11103" s="2">
        <f>HYPERLINK("https://sao.dolgi.msk.ru/account/1404292366/", 1404292366)</f>
        <v>1404292366</v>
      </c>
      <c r="D11103">
        <v>-8351</v>
      </c>
    </row>
    <row r="11104" spans="1:4" hidden="1" x14ac:dyDescent="0.25">
      <c r="A11104" t="s">
        <v>704</v>
      </c>
      <c r="B11104" t="s">
        <v>54</v>
      </c>
      <c r="C11104" s="2">
        <f>HYPERLINK("https://sao.dolgi.msk.ru/account/1404290264/", 1404290264)</f>
        <v>1404290264</v>
      </c>
      <c r="D11104">
        <v>-5974.3</v>
      </c>
    </row>
    <row r="11105" spans="1:4" hidden="1" x14ac:dyDescent="0.25">
      <c r="A11105" t="s">
        <v>704</v>
      </c>
      <c r="B11105" t="s">
        <v>55</v>
      </c>
      <c r="C11105" s="2">
        <f>HYPERLINK("https://sao.dolgi.msk.ru/account/1404290731/", 1404290731)</f>
        <v>1404290731</v>
      </c>
      <c r="D11105">
        <v>-9004.8799999999992</v>
      </c>
    </row>
    <row r="11106" spans="1:4" hidden="1" x14ac:dyDescent="0.25">
      <c r="A11106" t="s">
        <v>704</v>
      </c>
      <c r="B11106" t="s">
        <v>56</v>
      </c>
      <c r="C11106" s="2">
        <f>HYPERLINK("https://sao.dolgi.msk.ru/account/1404286513/", 1404286513)</f>
        <v>1404286513</v>
      </c>
      <c r="D11106">
        <v>-2771.33</v>
      </c>
    </row>
    <row r="11107" spans="1:4" hidden="1" x14ac:dyDescent="0.25">
      <c r="A11107" t="s">
        <v>704</v>
      </c>
      <c r="B11107" t="s">
        <v>57</v>
      </c>
      <c r="C11107" s="2">
        <f>HYPERLINK("https://sao.dolgi.msk.ru/account/1404290459/", 1404290459)</f>
        <v>1404290459</v>
      </c>
      <c r="D11107">
        <v>-5559.23</v>
      </c>
    </row>
    <row r="11108" spans="1:4" hidden="1" x14ac:dyDescent="0.25">
      <c r="A11108" t="s">
        <v>704</v>
      </c>
      <c r="B11108" t="s">
        <v>58</v>
      </c>
      <c r="C11108" s="2">
        <f>HYPERLINK("https://sao.dolgi.msk.ru/account/1404291021/", 1404291021)</f>
        <v>1404291021</v>
      </c>
      <c r="D11108">
        <v>-6168.44</v>
      </c>
    </row>
    <row r="11109" spans="1:4" hidden="1" x14ac:dyDescent="0.25">
      <c r="A11109" t="s">
        <v>704</v>
      </c>
      <c r="B11109" t="s">
        <v>59</v>
      </c>
      <c r="C11109" s="2">
        <f>HYPERLINK("https://sao.dolgi.msk.ru/account/1404290619/", 1404290619)</f>
        <v>1404290619</v>
      </c>
      <c r="D11109">
        <v>-5300.01</v>
      </c>
    </row>
    <row r="11110" spans="1:4" hidden="1" x14ac:dyDescent="0.25">
      <c r="A11110" t="s">
        <v>704</v>
      </c>
      <c r="B11110" t="s">
        <v>60</v>
      </c>
      <c r="C11110" s="2">
        <f>HYPERLINK("https://sao.dolgi.msk.ru/account/1404292745/", 1404292745)</f>
        <v>1404292745</v>
      </c>
      <c r="D11110">
        <v>0</v>
      </c>
    </row>
    <row r="11111" spans="1:4" hidden="1" x14ac:dyDescent="0.25">
      <c r="A11111" t="s">
        <v>704</v>
      </c>
      <c r="B11111" t="s">
        <v>61</v>
      </c>
      <c r="C11111" s="2">
        <f>HYPERLINK("https://sao.dolgi.msk.ru/account/1404292526/", 1404292526)</f>
        <v>1404292526</v>
      </c>
      <c r="D11111">
        <v>-3727.77</v>
      </c>
    </row>
    <row r="11112" spans="1:4" hidden="1" x14ac:dyDescent="0.25">
      <c r="A11112" t="s">
        <v>704</v>
      </c>
      <c r="B11112" t="s">
        <v>62</v>
      </c>
      <c r="C11112" s="2">
        <f>HYPERLINK("https://sao.dolgi.msk.ru/account/1404291961/", 1404291961)</f>
        <v>1404291961</v>
      </c>
      <c r="D11112">
        <v>-4559.09</v>
      </c>
    </row>
    <row r="11113" spans="1:4" hidden="1" x14ac:dyDescent="0.25">
      <c r="A11113" t="s">
        <v>704</v>
      </c>
      <c r="B11113" t="s">
        <v>63</v>
      </c>
      <c r="C11113" s="2">
        <f>HYPERLINK("https://sao.dolgi.msk.ru/account/1404291902/", 1404291902)</f>
        <v>1404291902</v>
      </c>
      <c r="D11113">
        <v>-3568.22</v>
      </c>
    </row>
    <row r="11114" spans="1:4" x14ac:dyDescent="0.25">
      <c r="A11114" t="s">
        <v>704</v>
      </c>
      <c r="B11114" t="s">
        <v>64</v>
      </c>
      <c r="C11114" s="2">
        <f>HYPERLINK("https://sao.dolgi.msk.ru/account/1404291451/", 1404291451)</f>
        <v>1404291451</v>
      </c>
      <c r="D11114">
        <v>10785.16</v>
      </c>
    </row>
    <row r="11115" spans="1:4" hidden="1" x14ac:dyDescent="0.25">
      <c r="A11115" t="s">
        <v>704</v>
      </c>
      <c r="B11115" t="s">
        <v>65</v>
      </c>
      <c r="C11115" s="2">
        <f>HYPERLINK("https://sao.dolgi.msk.ru/account/1404286601/", 1404286601)</f>
        <v>1404286601</v>
      </c>
      <c r="D11115">
        <v>-83.24</v>
      </c>
    </row>
    <row r="11116" spans="1:4" hidden="1" x14ac:dyDescent="0.25">
      <c r="A11116" t="s">
        <v>704</v>
      </c>
      <c r="B11116" t="s">
        <v>66</v>
      </c>
      <c r="C11116" s="2">
        <f>HYPERLINK("https://sao.dolgi.msk.ru/account/1404292972/", 1404292972)</f>
        <v>1404292972</v>
      </c>
      <c r="D11116">
        <v>-4478.43</v>
      </c>
    </row>
    <row r="11117" spans="1:4" hidden="1" x14ac:dyDescent="0.25">
      <c r="A11117" t="s">
        <v>704</v>
      </c>
      <c r="B11117" t="s">
        <v>67</v>
      </c>
      <c r="C11117" s="2">
        <f>HYPERLINK("https://sao.dolgi.msk.ru/account/1404286046/", 1404286046)</f>
        <v>1404286046</v>
      </c>
      <c r="D11117">
        <v>-6111.73</v>
      </c>
    </row>
    <row r="11118" spans="1:4" x14ac:dyDescent="0.25">
      <c r="A11118" t="s">
        <v>704</v>
      </c>
      <c r="B11118" t="s">
        <v>68</v>
      </c>
      <c r="C11118" s="2">
        <f>HYPERLINK("https://sao.dolgi.msk.ru/account/1404290141/", 1404290141)</f>
        <v>1404290141</v>
      </c>
      <c r="D11118">
        <v>82034.87</v>
      </c>
    </row>
    <row r="11119" spans="1:4" hidden="1" x14ac:dyDescent="0.25">
      <c r="A11119" t="s">
        <v>704</v>
      </c>
      <c r="B11119" t="s">
        <v>69</v>
      </c>
      <c r="C11119" s="2">
        <f>HYPERLINK("https://sao.dolgi.msk.ru/account/1404286775/", 1404286775)</f>
        <v>1404286775</v>
      </c>
      <c r="D11119">
        <v>-41.62</v>
      </c>
    </row>
    <row r="11120" spans="1:4" hidden="1" x14ac:dyDescent="0.25">
      <c r="A11120" t="s">
        <v>704</v>
      </c>
      <c r="B11120" t="s">
        <v>70</v>
      </c>
      <c r="C11120" s="2">
        <f>HYPERLINK("https://sao.dolgi.msk.ru/account/1404288295/", 1404288295)</f>
        <v>1404288295</v>
      </c>
      <c r="D11120">
        <v>-7717.91</v>
      </c>
    </row>
    <row r="11121" spans="1:4" hidden="1" x14ac:dyDescent="0.25">
      <c r="A11121" t="s">
        <v>704</v>
      </c>
      <c r="B11121" t="s">
        <v>71</v>
      </c>
      <c r="C11121" s="2">
        <f>HYPERLINK("https://sao.dolgi.msk.ru/account/1404291208/", 1404291208)</f>
        <v>1404291208</v>
      </c>
      <c r="D11121">
        <v>0</v>
      </c>
    </row>
    <row r="11122" spans="1:4" hidden="1" x14ac:dyDescent="0.25">
      <c r="A11122" t="s">
        <v>704</v>
      </c>
      <c r="B11122" t="s">
        <v>72</v>
      </c>
      <c r="C11122" s="2">
        <f>HYPERLINK("https://sao.dolgi.msk.ru/account/1404291558/", 1404291558)</f>
        <v>1404291558</v>
      </c>
      <c r="D11122">
        <v>-352.17</v>
      </c>
    </row>
    <row r="11123" spans="1:4" x14ac:dyDescent="0.25">
      <c r="A11123" t="s">
        <v>704</v>
      </c>
      <c r="B11123" t="s">
        <v>73</v>
      </c>
      <c r="C11123" s="2">
        <f>HYPERLINK("https://sao.dolgi.msk.ru/account/1404293422/", 1404293422)</f>
        <v>1404293422</v>
      </c>
      <c r="D11123">
        <v>42346.91</v>
      </c>
    </row>
    <row r="11124" spans="1:4" hidden="1" x14ac:dyDescent="0.25">
      <c r="A11124" t="s">
        <v>704</v>
      </c>
      <c r="B11124" t="s">
        <v>74</v>
      </c>
      <c r="C11124" s="2">
        <f>HYPERLINK("https://sao.dolgi.msk.ru/account/1404291013/", 1404291013)</f>
        <v>1404291013</v>
      </c>
      <c r="D11124">
        <v>-9407.02</v>
      </c>
    </row>
    <row r="11125" spans="1:4" hidden="1" x14ac:dyDescent="0.25">
      <c r="A11125" t="s">
        <v>704</v>
      </c>
      <c r="B11125" t="s">
        <v>75</v>
      </c>
      <c r="C11125" s="2">
        <f>HYPERLINK("https://sao.dolgi.msk.ru/account/1404286011/", 1404286011)</f>
        <v>1404286011</v>
      </c>
      <c r="D11125">
        <v>-6791.36</v>
      </c>
    </row>
    <row r="11126" spans="1:4" hidden="1" x14ac:dyDescent="0.25">
      <c r="A11126" t="s">
        <v>704</v>
      </c>
      <c r="B11126" t="s">
        <v>76</v>
      </c>
      <c r="C11126" s="2">
        <f>HYPERLINK("https://sao.dolgi.msk.ru/account/1404288383/", 1404288383)</f>
        <v>1404288383</v>
      </c>
      <c r="D11126">
        <v>-60</v>
      </c>
    </row>
    <row r="11127" spans="1:4" hidden="1" x14ac:dyDescent="0.25">
      <c r="A11127" t="s">
        <v>704</v>
      </c>
      <c r="B11127" t="s">
        <v>77</v>
      </c>
      <c r="C11127" s="2">
        <f>HYPERLINK("https://sao.dolgi.msk.ru/account/1404287006/", 1404287006)</f>
        <v>1404287006</v>
      </c>
      <c r="D11127">
        <v>-5176.88</v>
      </c>
    </row>
    <row r="11128" spans="1:4" hidden="1" x14ac:dyDescent="0.25">
      <c r="A11128" t="s">
        <v>704</v>
      </c>
      <c r="B11128" t="s">
        <v>78</v>
      </c>
      <c r="C11128" s="2">
        <f>HYPERLINK("https://sao.dolgi.msk.ru/account/1404286281/", 1404286281)</f>
        <v>1404286281</v>
      </c>
      <c r="D11128">
        <v>-5641.05</v>
      </c>
    </row>
    <row r="11129" spans="1:4" hidden="1" x14ac:dyDescent="0.25">
      <c r="A11129" t="s">
        <v>704</v>
      </c>
      <c r="B11129" t="s">
        <v>79</v>
      </c>
      <c r="C11129" s="2">
        <f>HYPERLINK("https://sao.dolgi.msk.ru/account/1404287946/", 1404287946)</f>
        <v>1404287946</v>
      </c>
      <c r="D11129">
        <v>0</v>
      </c>
    </row>
    <row r="11130" spans="1:4" hidden="1" x14ac:dyDescent="0.25">
      <c r="A11130" t="s">
        <v>704</v>
      </c>
      <c r="B11130" t="s">
        <v>80</v>
      </c>
      <c r="C11130" s="2">
        <f>HYPERLINK("https://sao.dolgi.msk.ru/account/1404287751/", 1404287751)</f>
        <v>1404287751</v>
      </c>
      <c r="D11130">
        <v>-83.37</v>
      </c>
    </row>
    <row r="11131" spans="1:4" hidden="1" x14ac:dyDescent="0.25">
      <c r="A11131" t="s">
        <v>704</v>
      </c>
      <c r="B11131" t="s">
        <v>81</v>
      </c>
      <c r="C11131" s="2">
        <f>HYPERLINK("https://sao.dolgi.msk.ru/account/1404287014/", 1404287014)</f>
        <v>1404287014</v>
      </c>
      <c r="D11131">
        <v>-6292.43</v>
      </c>
    </row>
    <row r="11132" spans="1:4" hidden="1" x14ac:dyDescent="0.25">
      <c r="A11132" t="s">
        <v>704</v>
      </c>
      <c r="B11132" t="s">
        <v>82</v>
      </c>
      <c r="C11132" s="2">
        <f>HYPERLINK("https://sao.dolgi.msk.ru/account/1404289407/", 1404289407)</f>
        <v>1404289407</v>
      </c>
      <c r="D11132">
        <v>-7662.37</v>
      </c>
    </row>
    <row r="11133" spans="1:4" x14ac:dyDescent="0.25">
      <c r="A11133" t="s">
        <v>704</v>
      </c>
      <c r="B11133" t="s">
        <v>83</v>
      </c>
      <c r="C11133" s="2">
        <f>HYPERLINK("https://sao.dolgi.msk.ru/account/1404293385/", 1404293385)</f>
        <v>1404293385</v>
      </c>
      <c r="D11133">
        <v>4017.37</v>
      </c>
    </row>
    <row r="11134" spans="1:4" x14ac:dyDescent="0.25">
      <c r="A11134" t="s">
        <v>704</v>
      </c>
      <c r="B11134" t="s">
        <v>84</v>
      </c>
      <c r="C11134" s="2">
        <f>HYPERLINK("https://sao.dolgi.msk.ru/account/1404287276/", 1404287276)</f>
        <v>1404287276</v>
      </c>
      <c r="D11134">
        <v>8888.51</v>
      </c>
    </row>
    <row r="11135" spans="1:4" hidden="1" x14ac:dyDescent="0.25">
      <c r="A11135" t="s">
        <v>704</v>
      </c>
      <c r="B11135" t="s">
        <v>85</v>
      </c>
      <c r="C11135" s="2">
        <f>HYPERLINK("https://sao.dolgi.msk.ru/account/1404291777/", 1404291777)</f>
        <v>1404291777</v>
      </c>
      <c r="D11135">
        <v>0</v>
      </c>
    </row>
    <row r="11136" spans="1:4" x14ac:dyDescent="0.25">
      <c r="A11136" t="s">
        <v>704</v>
      </c>
      <c r="B11136" t="s">
        <v>86</v>
      </c>
      <c r="C11136" s="2">
        <f>HYPERLINK("https://sao.dolgi.msk.ru/account/1404290467/", 1404290467)</f>
        <v>1404290467</v>
      </c>
      <c r="D11136">
        <v>14409.23</v>
      </c>
    </row>
    <row r="11137" spans="1:4" x14ac:dyDescent="0.25">
      <c r="A11137" t="s">
        <v>704</v>
      </c>
      <c r="B11137" t="s">
        <v>87</v>
      </c>
      <c r="C11137" s="2">
        <f>HYPERLINK("https://sao.dolgi.msk.ru/account/1404290539/", 1404290539)</f>
        <v>1404290539</v>
      </c>
      <c r="D11137">
        <v>22387.49</v>
      </c>
    </row>
    <row r="11138" spans="1:4" x14ac:dyDescent="0.25">
      <c r="A11138" t="s">
        <v>704</v>
      </c>
      <c r="B11138" t="s">
        <v>88</v>
      </c>
      <c r="C11138" s="2">
        <f>HYPERLINK("https://sao.dolgi.msk.ru/account/1404291822/", 1404291822)</f>
        <v>1404291822</v>
      </c>
      <c r="D11138">
        <v>21661.360000000001</v>
      </c>
    </row>
    <row r="11139" spans="1:4" hidden="1" x14ac:dyDescent="0.25">
      <c r="A11139" t="s">
        <v>704</v>
      </c>
      <c r="B11139" t="s">
        <v>89</v>
      </c>
      <c r="C11139" s="2">
        <f>HYPERLINK("https://sao.dolgi.msk.ru/account/1404286329/", 1404286329)</f>
        <v>1404286329</v>
      </c>
      <c r="D11139">
        <v>-6052.76</v>
      </c>
    </row>
    <row r="11140" spans="1:4" hidden="1" x14ac:dyDescent="0.25">
      <c r="A11140" t="s">
        <v>704</v>
      </c>
      <c r="B11140" t="s">
        <v>90</v>
      </c>
      <c r="C11140" s="2">
        <f>HYPERLINK("https://sao.dolgi.msk.ru/account/1404290037/", 1404290037)</f>
        <v>1404290037</v>
      </c>
      <c r="D11140">
        <v>-7194.65</v>
      </c>
    </row>
    <row r="11141" spans="1:4" hidden="1" x14ac:dyDescent="0.25">
      <c r="A11141" t="s">
        <v>704</v>
      </c>
      <c r="B11141" t="s">
        <v>91</v>
      </c>
      <c r="C11141" s="2">
        <f>HYPERLINK("https://sao.dolgi.msk.ru/account/1404291769/", 1404291769)</f>
        <v>1404291769</v>
      </c>
      <c r="D11141">
        <v>-6554.86</v>
      </c>
    </row>
    <row r="11142" spans="1:4" hidden="1" x14ac:dyDescent="0.25">
      <c r="A11142" t="s">
        <v>704</v>
      </c>
      <c r="B11142" t="s">
        <v>92</v>
      </c>
      <c r="C11142" s="2">
        <f>HYPERLINK("https://sao.dolgi.msk.ru/account/1404293705/", 1404293705)</f>
        <v>1404293705</v>
      </c>
      <c r="D11142">
        <v>-6824.43</v>
      </c>
    </row>
    <row r="11143" spans="1:4" x14ac:dyDescent="0.25">
      <c r="A11143" t="s">
        <v>704</v>
      </c>
      <c r="B11143" t="s">
        <v>93</v>
      </c>
      <c r="C11143" s="2">
        <f>HYPERLINK("https://sao.dolgi.msk.ru/account/1404288308/", 1404288308)</f>
        <v>1404288308</v>
      </c>
      <c r="D11143">
        <v>32449.83</v>
      </c>
    </row>
    <row r="11144" spans="1:4" x14ac:dyDescent="0.25">
      <c r="A11144" t="s">
        <v>704</v>
      </c>
      <c r="B11144" t="s">
        <v>94</v>
      </c>
      <c r="C11144" s="2">
        <f>HYPERLINK("https://sao.dolgi.msk.ru/account/1404287911/", 1404287911)</f>
        <v>1404287911</v>
      </c>
      <c r="D11144">
        <v>679.34</v>
      </c>
    </row>
    <row r="11145" spans="1:4" hidden="1" x14ac:dyDescent="0.25">
      <c r="A11145" t="s">
        <v>704</v>
      </c>
      <c r="B11145" t="s">
        <v>95</v>
      </c>
      <c r="C11145" s="2">
        <f>HYPERLINK("https://sao.dolgi.msk.ru/account/1404292104/", 1404292104)</f>
        <v>1404292104</v>
      </c>
      <c r="D11145">
        <v>-5368.41</v>
      </c>
    </row>
    <row r="11146" spans="1:4" hidden="1" x14ac:dyDescent="0.25">
      <c r="A11146" t="s">
        <v>704</v>
      </c>
      <c r="B11146" t="s">
        <v>96</v>
      </c>
      <c r="C11146" s="2">
        <f>HYPERLINK("https://sao.dolgi.msk.ru/account/1404290707/", 1404290707)</f>
        <v>1404290707</v>
      </c>
      <c r="D11146">
        <v>0</v>
      </c>
    </row>
    <row r="11147" spans="1:4" hidden="1" x14ac:dyDescent="0.25">
      <c r="A11147" t="s">
        <v>704</v>
      </c>
      <c r="B11147" t="s">
        <v>97</v>
      </c>
      <c r="C11147" s="2">
        <f>HYPERLINK("https://sao.dolgi.msk.ru/account/1404289431/", 1404289431)</f>
        <v>1404289431</v>
      </c>
      <c r="D11147">
        <v>-76.599999999999994</v>
      </c>
    </row>
    <row r="11148" spans="1:4" hidden="1" x14ac:dyDescent="0.25">
      <c r="A11148" t="s">
        <v>704</v>
      </c>
      <c r="B11148" t="s">
        <v>98</v>
      </c>
      <c r="C11148" s="2">
        <f>HYPERLINK("https://sao.dolgi.msk.ru/account/1404289765/", 1404289765)</f>
        <v>1404289765</v>
      </c>
      <c r="D11148">
        <v>-6977.55</v>
      </c>
    </row>
    <row r="11149" spans="1:4" hidden="1" x14ac:dyDescent="0.25">
      <c r="A11149" t="s">
        <v>704</v>
      </c>
      <c r="B11149" t="s">
        <v>99</v>
      </c>
      <c r="C11149" s="2">
        <f>HYPERLINK("https://sao.dolgi.msk.ru/account/1404286919/", 1404286919)</f>
        <v>1404286919</v>
      </c>
      <c r="D11149">
        <v>-7352.85</v>
      </c>
    </row>
    <row r="11150" spans="1:4" x14ac:dyDescent="0.25">
      <c r="A11150" t="s">
        <v>704</v>
      </c>
      <c r="B11150" t="s">
        <v>100</v>
      </c>
      <c r="C11150" s="2">
        <f>HYPERLINK("https://sao.dolgi.msk.ru/account/1404290096/", 1404290096)</f>
        <v>1404290096</v>
      </c>
      <c r="D11150">
        <v>8056.91</v>
      </c>
    </row>
    <row r="11151" spans="1:4" hidden="1" x14ac:dyDescent="0.25">
      <c r="A11151" t="s">
        <v>704</v>
      </c>
      <c r="B11151" t="s">
        <v>101</v>
      </c>
      <c r="C11151" s="2">
        <f>HYPERLINK("https://sao.dolgi.msk.ru/account/1404288375/", 1404288375)</f>
        <v>1404288375</v>
      </c>
      <c r="D11151">
        <v>-5986.17</v>
      </c>
    </row>
    <row r="11152" spans="1:4" hidden="1" x14ac:dyDescent="0.25">
      <c r="A11152" t="s">
        <v>704</v>
      </c>
      <c r="B11152" t="s">
        <v>102</v>
      </c>
      <c r="C11152" s="2">
        <f>HYPERLINK("https://sao.dolgi.msk.ru/account/1404286732/", 1404286732)</f>
        <v>1404286732</v>
      </c>
      <c r="D11152">
        <v>-7127.42</v>
      </c>
    </row>
    <row r="11153" spans="1:4" hidden="1" x14ac:dyDescent="0.25">
      <c r="A11153" t="s">
        <v>704</v>
      </c>
      <c r="B11153" t="s">
        <v>103</v>
      </c>
      <c r="C11153" s="2">
        <f>HYPERLINK("https://sao.dolgi.msk.ru/account/1404293473/", 1404293473)</f>
        <v>1404293473</v>
      </c>
      <c r="D11153">
        <v>-5724.14</v>
      </c>
    </row>
    <row r="11154" spans="1:4" x14ac:dyDescent="0.25">
      <c r="A11154" t="s">
        <v>704</v>
      </c>
      <c r="B11154" t="s">
        <v>104</v>
      </c>
      <c r="C11154" s="2">
        <f>HYPERLINK("https://sao.dolgi.msk.ru/account/1404286724/", 1404286724)</f>
        <v>1404286724</v>
      </c>
      <c r="D11154">
        <v>8994.2800000000007</v>
      </c>
    </row>
    <row r="11155" spans="1:4" x14ac:dyDescent="0.25">
      <c r="A11155" t="s">
        <v>704</v>
      </c>
      <c r="B11155" t="s">
        <v>104</v>
      </c>
      <c r="C11155" s="2">
        <f>HYPERLINK("https://sao.dolgi.msk.ru/account/1404289634/", 1404289634)</f>
        <v>1404289634</v>
      </c>
      <c r="D11155">
        <v>15706.92</v>
      </c>
    </row>
    <row r="11156" spans="1:4" x14ac:dyDescent="0.25">
      <c r="A11156" t="s">
        <v>704</v>
      </c>
      <c r="B11156" t="s">
        <v>105</v>
      </c>
      <c r="C11156" s="2">
        <f>HYPERLINK("https://sao.dolgi.msk.ru/account/1404286433/", 1404286433)</f>
        <v>1404286433</v>
      </c>
      <c r="D11156">
        <v>7286.54</v>
      </c>
    </row>
    <row r="11157" spans="1:4" hidden="1" x14ac:dyDescent="0.25">
      <c r="A11157" t="s">
        <v>704</v>
      </c>
      <c r="B11157" t="s">
        <v>106</v>
      </c>
      <c r="C11157" s="2">
        <f>HYPERLINK("https://sao.dolgi.msk.ru/account/1404287348/", 1404287348)</f>
        <v>1404287348</v>
      </c>
      <c r="D11157">
        <v>-5362.92</v>
      </c>
    </row>
    <row r="11158" spans="1:4" hidden="1" x14ac:dyDescent="0.25">
      <c r="A11158" t="s">
        <v>704</v>
      </c>
      <c r="B11158" t="s">
        <v>107</v>
      </c>
      <c r="C11158" s="2">
        <f>HYPERLINK("https://sao.dolgi.msk.ru/account/1404288471/", 1404288471)</f>
        <v>1404288471</v>
      </c>
      <c r="D11158">
        <v>-76.599999999999994</v>
      </c>
    </row>
    <row r="11159" spans="1:4" x14ac:dyDescent="0.25">
      <c r="A11159" t="s">
        <v>704</v>
      </c>
      <c r="B11159" t="s">
        <v>108</v>
      </c>
      <c r="C11159" s="2">
        <f>HYPERLINK("https://sao.dolgi.msk.ru/account/1404288914/", 1404288914)</f>
        <v>1404288914</v>
      </c>
      <c r="D11159">
        <v>20058.330000000002</v>
      </c>
    </row>
    <row r="11160" spans="1:4" hidden="1" x14ac:dyDescent="0.25">
      <c r="A11160" t="s">
        <v>704</v>
      </c>
      <c r="B11160" t="s">
        <v>109</v>
      </c>
      <c r="C11160" s="2">
        <f>HYPERLINK("https://sao.dolgi.msk.ru/account/1404290299/", 1404290299)</f>
        <v>1404290299</v>
      </c>
      <c r="D11160">
        <v>-82.49</v>
      </c>
    </row>
    <row r="11161" spans="1:4" x14ac:dyDescent="0.25">
      <c r="A11161" t="s">
        <v>704</v>
      </c>
      <c r="B11161" t="s">
        <v>110</v>
      </c>
      <c r="C11161" s="2">
        <f>HYPERLINK("https://sao.dolgi.msk.ru/account/1404287268/", 1404287268)</f>
        <v>1404287268</v>
      </c>
      <c r="D11161">
        <v>60533.54</v>
      </c>
    </row>
    <row r="11162" spans="1:4" hidden="1" x14ac:dyDescent="0.25">
      <c r="A11162" t="s">
        <v>704</v>
      </c>
      <c r="B11162" t="s">
        <v>111</v>
      </c>
      <c r="C11162" s="2">
        <f>HYPERLINK("https://sao.dolgi.msk.ru/account/1404292892/", 1404292892)</f>
        <v>1404292892</v>
      </c>
      <c r="D11162">
        <v>-3925.24</v>
      </c>
    </row>
    <row r="11163" spans="1:4" x14ac:dyDescent="0.25">
      <c r="A11163" t="s">
        <v>704</v>
      </c>
      <c r="B11163" t="s">
        <v>112</v>
      </c>
      <c r="C11163" s="2">
        <f>HYPERLINK("https://sao.dolgi.msk.ru/account/1404293158/", 1404293158)</f>
        <v>1404293158</v>
      </c>
      <c r="D11163">
        <v>38050.629999999997</v>
      </c>
    </row>
    <row r="11164" spans="1:4" hidden="1" x14ac:dyDescent="0.25">
      <c r="A11164" t="s">
        <v>704</v>
      </c>
      <c r="B11164" t="s">
        <v>113</v>
      </c>
      <c r="C11164" s="2">
        <f>HYPERLINK("https://sao.dolgi.msk.ru/account/1404290408/", 1404290408)</f>
        <v>1404290408</v>
      </c>
      <c r="D11164">
        <v>0</v>
      </c>
    </row>
    <row r="11165" spans="1:4" hidden="1" x14ac:dyDescent="0.25">
      <c r="A11165" t="s">
        <v>704</v>
      </c>
      <c r="B11165" t="s">
        <v>114</v>
      </c>
      <c r="C11165" s="2">
        <f>HYPERLINK("https://sao.dolgi.msk.ru/account/1404291849/", 1404291849)</f>
        <v>1404291849</v>
      </c>
      <c r="D11165">
        <v>-9037.11</v>
      </c>
    </row>
    <row r="11166" spans="1:4" x14ac:dyDescent="0.25">
      <c r="A11166" t="s">
        <v>704</v>
      </c>
      <c r="B11166" t="s">
        <v>115</v>
      </c>
      <c r="C11166" s="2">
        <f>HYPERLINK("https://sao.dolgi.msk.ru/account/1404290811/", 1404290811)</f>
        <v>1404290811</v>
      </c>
      <c r="D11166">
        <v>10170.17</v>
      </c>
    </row>
    <row r="11167" spans="1:4" hidden="1" x14ac:dyDescent="0.25">
      <c r="A11167" t="s">
        <v>704</v>
      </c>
      <c r="B11167" t="s">
        <v>116</v>
      </c>
      <c r="C11167" s="2">
        <f>HYPERLINK("https://sao.dolgi.msk.ru/account/1404292665/", 1404292665)</f>
        <v>1404292665</v>
      </c>
      <c r="D11167">
        <v>-4216.16</v>
      </c>
    </row>
    <row r="11168" spans="1:4" hidden="1" x14ac:dyDescent="0.25">
      <c r="A11168" t="s">
        <v>704</v>
      </c>
      <c r="B11168" t="s">
        <v>117</v>
      </c>
      <c r="C11168" s="2">
        <f>HYPERLINK("https://sao.dolgi.msk.ru/account/1404287858/", 1404287858)</f>
        <v>1404287858</v>
      </c>
      <c r="D11168">
        <v>-5784.89</v>
      </c>
    </row>
    <row r="11169" spans="1:4" hidden="1" x14ac:dyDescent="0.25">
      <c r="A11169" t="s">
        <v>704</v>
      </c>
      <c r="B11169" t="s">
        <v>118</v>
      </c>
      <c r="C11169" s="2">
        <f>HYPERLINK("https://sao.dolgi.msk.ru/account/1404288877/", 1404288877)</f>
        <v>1404288877</v>
      </c>
      <c r="D11169">
        <v>-6884.33</v>
      </c>
    </row>
    <row r="11170" spans="1:4" hidden="1" x14ac:dyDescent="0.25">
      <c r="A11170" t="s">
        <v>704</v>
      </c>
      <c r="B11170" t="s">
        <v>119</v>
      </c>
      <c r="C11170" s="2">
        <f>HYPERLINK("https://sao.dolgi.msk.ru/account/1404289212/", 1404289212)</f>
        <v>1404289212</v>
      </c>
      <c r="D11170">
        <v>-6087.26</v>
      </c>
    </row>
    <row r="11171" spans="1:4" x14ac:dyDescent="0.25">
      <c r="A11171" t="s">
        <v>704</v>
      </c>
      <c r="B11171" t="s">
        <v>120</v>
      </c>
      <c r="C11171" s="2">
        <f>HYPERLINK("https://sao.dolgi.msk.ru/account/1404289239/", 1404289239)</f>
        <v>1404289239</v>
      </c>
      <c r="D11171">
        <v>7839.16</v>
      </c>
    </row>
    <row r="11172" spans="1:4" hidden="1" x14ac:dyDescent="0.25">
      <c r="A11172" t="s">
        <v>704</v>
      </c>
      <c r="B11172" t="s">
        <v>121</v>
      </c>
      <c r="C11172" s="2">
        <f>HYPERLINK("https://sao.dolgi.msk.ru/account/1404288228/", 1404288228)</f>
        <v>1404288228</v>
      </c>
      <c r="D11172">
        <v>-5245.35</v>
      </c>
    </row>
    <row r="11173" spans="1:4" hidden="1" x14ac:dyDescent="0.25">
      <c r="A11173" t="s">
        <v>704</v>
      </c>
      <c r="B11173" t="s">
        <v>122</v>
      </c>
      <c r="C11173" s="2">
        <f>HYPERLINK("https://sao.dolgi.msk.ru/account/1404291371/", 1404291371)</f>
        <v>1404291371</v>
      </c>
      <c r="D11173">
        <v>0</v>
      </c>
    </row>
    <row r="11174" spans="1:4" hidden="1" x14ac:dyDescent="0.25">
      <c r="A11174" t="s">
        <v>704</v>
      </c>
      <c r="B11174" t="s">
        <v>123</v>
      </c>
      <c r="C11174" s="2">
        <f>HYPERLINK("https://sao.dolgi.msk.ru/account/1404293238/", 1404293238)</f>
        <v>1404293238</v>
      </c>
      <c r="D11174">
        <v>0</v>
      </c>
    </row>
    <row r="11175" spans="1:4" hidden="1" x14ac:dyDescent="0.25">
      <c r="A11175" t="s">
        <v>704</v>
      </c>
      <c r="B11175" t="s">
        <v>124</v>
      </c>
      <c r="C11175" s="2">
        <f>HYPERLINK("https://sao.dolgi.msk.ru/account/1404288359/", 1404288359)</f>
        <v>1404288359</v>
      </c>
      <c r="D11175">
        <v>0</v>
      </c>
    </row>
    <row r="11176" spans="1:4" x14ac:dyDescent="0.25">
      <c r="A11176" t="s">
        <v>704</v>
      </c>
      <c r="B11176" t="s">
        <v>125</v>
      </c>
      <c r="C11176" s="2">
        <f>HYPERLINK("https://sao.dolgi.msk.ru/account/1404286679/", 1404286679)</f>
        <v>1404286679</v>
      </c>
      <c r="D11176">
        <v>18271.560000000001</v>
      </c>
    </row>
    <row r="11177" spans="1:4" hidden="1" x14ac:dyDescent="0.25">
      <c r="A11177" t="s">
        <v>704</v>
      </c>
      <c r="B11177" t="s">
        <v>126</v>
      </c>
      <c r="C11177" s="2">
        <f>HYPERLINK("https://sao.dolgi.msk.ru/account/1404287559/", 1404287559)</f>
        <v>1404287559</v>
      </c>
      <c r="D11177">
        <v>-3121.47</v>
      </c>
    </row>
    <row r="11178" spans="1:4" hidden="1" x14ac:dyDescent="0.25">
      <c r="A11178" t="s">
        <v>704</v>
      </c>
      <c r="B11178" t="s">
        <v>127</v>
      </c>
      <c r="C11178" s="2">
        <f>HYPERLINK("https://sao.dolgi.msk.ru/account/1404290854/", 1404290854)</f>
        <v>1404290854</v>
      </c>
      <c r="D11178">
        <v>-4341.05</v>
      </c>
    </row>
    <row r="11179" spans="1:4" hidden="1" x14ac:dyDescent="0.25">
      <c r="A11179" t="s">
        <v>704</v>
      </c>
      <c r="B11179" t="s">
        <v>128</v>
      </c>
      <c r="C11179" s="2">
        <f>HYPERLINK("https://sao.dolgi.msk.ru/account/1404289343/", 1404289343)</f>
        <v>1404289343</v>
      </c>
      <c r="D11179">
        <v>-7149.59</v>
      </c>
    </row>
    <row r="11180" spans="1:4" x14ac:dyDescent="0.25">
      <c r="A11180" t="s">
        <v>704</v>
      </c>
      <c r="B11180" t="s">
        <v>129</v>
      </c>
      <c r="C11180" s="2">
        <f>HYPERLINK("https://sao.dolgi.msk.ru/account/1404293078/", 1404293078)</f>
        <v>1404293078</v>
      </c>
      <c r="D11180">
        <v>8013.39</v>
      </c>
    </row>
    <row r="11181" spans="1:4" hidden="1" x14ac:dyDescent="0.25">
      <c r="A11181" t="s">
        <v>704</v>
      </c>
      <c r="B11181" t="s">
        <v>130</v>
      </c>
      <c r="C11181" s="2">
        <f>HYPERLINK("https://sao.dolgi.msk.ru/account/1404287129/", 1404287129)</f>
        <v>1404287129</v>
      </c>
      <c r="D11181">
        <v>-3762.36</v>
      </c>
    </row>
    <row r="11182" spans="1:4" hidden="1" x14ac:dyDescent="0.25">
      <c r="A11182" t="s">
        <v>704</v>
      </c>
      <c r="B11182" t="s">
        <v>131</v>
      </c>
      <c r="C11182" s="2">
        <f>HYPERLINK("https://sao.dolgi.msk.ru/account/1404289861/", 1404289861)</f>
        <v>1404289861</v>
      </c>
      <c r="D11182">
        <v>0</v>
      </c>
    </row>
    <row r="11183" spans="1:4" x14ac:dyDescent="0.25">
      <c r="A11183" t="s">
        <v>704</v>
      </c>
      <c r="B11183" t="s">
        <v>132</v>
      </c>
      <c r="C11183" s="2">
        <f>HYPERLINK("https://sao.dolgi.msk.ru/account/1404286054/", 1404286054)</f>
        <v>1404286054</v>
      </c>
      <c r="D11183">
        <v>12479.17</v>
      </c>
    </row>
    <row r="11184" spans="1:4" hidden="1" x14ac:dyDescent="0.25">
      <c r="A11184" t="s">
        <v>704</v>
      </c>
      <c r="B11184" t="s">
        <v>133</v>
      </c>
      <c r="C11184" s="2">
        <f>HYPERLINK("https://sao.dolgi.msk.ru/account/1404287444/", 1404287444)</f>
        <v>1404287444</v>
      </c>
      <c r="D11184">
        <v>-2822.8</v>
      </c>
    </row>
    <row r="11185" spans="1:4" hidden="1" x14ac:dyDescent="0.25">
      <c r="A11185" t="s">
        <v>704</v>
      </c>
      <c r="B11185" t="s">
        <v>133</v>
      </c>
      <c r="C11185" s="2">
        <f>HYPERLINK("https://sao.dolgi.msk.ru/account/1404291398/", 1404291398)</f>
        <v>1404291398</v>
      </c>
      <c r="D11185">
        <v>-2303.9499999999998</v>
      </c>
    </row>
    <row r="11186" spans="1:4" hidden="1" x14ac:dyDescent="0.25">
      <c r="A11186" t="s">
        <v>704</v>
      </c>
      <c r="B11186" t="s">
        <v>134</v>
      </c>
      <c r="C11186" s="2">
        <f>HYPERLINK("https://sao.dolgi.msk.ru/account/1404291937/", 1404291937)</f>
        <v>1404291937</v>
      </c>
      <c r="D11186">
        <v>-9879.4</v>
      </c>
    </row>
    <row r="11187" spans="1:4" hidden="1" x14ac:dyDescent="0.25">
      <c r="A11187" t="s">
        <v>704</v>
      </c>
      <c r="B11187" t="s">
        <v>135</v>
      </c>
      <c r="C11187" s="2">
        <f>HYPERLINK("https://sao.dolgi.msk.ru/account/1404288412/", 1404288412)</f>
        <v>1404288412</v>
      </c>
      <c r="D11187">
        <v>-5483.55</v>
      </c>
    </row>
    <row r="11188" spans="1:4" hidden="1" x14ac:dyDescent="0.25">
      <c r="A11188" t="s">
        <v>704</v>
      </c>
      <c r="B11188" t="s">
        <v>136</v>
      </c>
      <c r="C11188" s="2">
        <f>HYPERLINK("https://sao.dolgi.msk.ru/account/1404289351/", 1404289351)</f>
        <v>1404289351</v>
      </c>
      <c r="D11188">
        <v>0</v>
      </c>
    </row>
    <row r="11189" spans="1:4" hidden="1" x14ac:dyDescent="0.25">
      <c r="A11189" t="s">
        <v>704</v>
      </c>
      <c r="B11189" t="s">
        <v>137</v>
      </c>
      <c r="C11189" s="2">
        <f>HYPERLINK("https://sao.dolgi.msk.ru/account/1404288922/", 1404288922)</f>
        <v>1404288922</v>
      </c>
      <c r="D11189">
        <v>0</v>
      </c>
    </row>
    <row r="11190" spans="1:4" hidden="1" x14ac:dyDescent="0.25">
      <c r="A11190" t="s">
        <v>704</v>
      </c>
      <c r="B11190" t="s">
        <v>138</v>
      </c>
      <c r="C11190" s="2">
        <f>HYPERLINK("https://sao.dolgi.msk.ru/account/1404292315/", 1404292315)</f>
        <v>1404292315</v>
      </c>
      <c r="D11190">
        <v>-7768.18</v>
      </c>
    </row>
    <row r="11191" spans="1:4" x14ac:dyDescent="0.25">
      <c r="A11191" t="s">
        <v>704</v>
      </c>
      <c r="B11191" t="s">
        <v>139</v>
      </c>
      <c r="C11191" s="2">
        <f>HYPERLINK("https://sao.dolgi.msk.ru/account/1404287815/", 1404287815)</f>
        <v>1404287815</v>
      </c>
      <c r="D11191">
        <v>13755.43</v>
      </c>
    </row>
    <row r="11192" spans="1:4" hidden="1" x14ac:dyDescent="0.25">
      <c r="A11192" t="s">
        <v>704</v>
      </c>
      <c r="B11192" t="s">
        <v>140</v>
      </c>
      <c r="C11192" s="2">
        <f>HYPERLINK("https://sao.dolgi.msk.ru/account/1404293553/", 1404293553)</f>
        <v>1404293553</v>
      </c>
      <c r="D11192">
        <v>-12096.89</v>
      </c>
    </row>
    <row r="11193" spans="1:4" hidden="1" x14ac:dyDescent="0.25">
      <c r="A11193" t="s">
        <v>704</v>
      </c>
      <c r="B11193" t="s">
        <v>141</v>
      </c>
      <c r="C11193" s="2">
        <f>HYPERLINK("https://sao.dolgi.msk.ru/account/1404286425/", 1404286425)</f>
        <v>1404286425</v>
      </c>
      <c r="D11193">
        <v>-5630.22</v>
      </c>
    </row>
    <row r="11194" spans="1:4" x14ac:dyDescent="0.25">
      <c r="A11194" t="s">
        <v>704</v>
      </c>
      <c r="B11194" t="s">
        <v>142</v>
      </c>
      <c r="C11194" s="2">
        <f>HYPERLINK("https://sao.dolgi.msk.ru/account/1404290176/", 1404290176)</f>
        <v>1404290176</v>
      </c>
      <c r="D11194">
        <v>9707.0400000000009</v>
      </c>
    </row>
    <row r="11195" spans="1:4" hidden="1" x14ac:dyDescent="0.25">
      <c r="A11195" t="s">
        <v>704</v>
      </c>
      <c r="B11195" t="s">
        <v>143</v>
      </c>
      <c r="C11195" s="2">
        <f>HYPERLINK("https://sao.dolgi.msk.ru/account/1404288279/", 1404288279)</f>
        <v>1404288279</v>
      </c>
      <c r="D11195">
        <v>-5757.54</v>
      </c>
    </row>
    <row r="11196" spans="1:4" hidden="1" x14ac:dyDescent="0.25">
      <c r="A11196" t="s">
        <v>704</v>
      </c>
      <c r="B11196" t="s">
        <v>144</v>
      </c>
      <c r="C11196" s="2">
        <f>HYPERLINK("https://sao.dolgi.msk.ru/account/1404289124/", 1404289124)</f>
        <v>1404289124</v>
      </c>
      <c r="D11196">
        <v>-4398.7700000000004</v>
      </c>
    </row>
    <row r="11197" spans="1:4" x14ac:dyDescent="0.25">
      <c r="A11197" t="s">
        <v>704</v>
      </c>
      <c r="B11197" t="s">
        <v>145</v>
      </c>
      <c r="C11197" s="2">
        <f>HYPERLINK("https://sao.dolgi.msk.ru/account/1404291195/", 1404291195)</f>
        <v>1404291195</v>
      </c>
      <c r="D11197">
        <v>14622.81</v>
      </c>
    </row>
    <row r="11198" spans="1:4" x14ac:dyDescent="0.25">
      <c r="A11198" t="s">
        <v>704</v>
      </c>
      <c r="B11198" t="s">
        <v>146</v>
      </c>
      <c r="C11198" s="2">
        <f>HYPERLINK("https://sao.dolgi.msk.ru/account/1404293289/", 1404293289)</f>
        <v>1404293289</v>
      </c>
      <c r="D11198">
        <v>8421.59</v>
      </c>
    </row>
    <row r="11199" spans="1:4" hidden="1" x14ac:dyDescent="0.25">
      <c r="A11199" t="s">
        <v>704</v>
      </c>
      <c r="B11199" t="s">
        <v>147</v>
      </c>
      <c r="C11199" s="2">
        <f>HYPERLINK("https://sao.dolgi.msk.ru/account/1404290256/", 1404290256)</f>
        <v>1404290256</v>
      </c>
      <c r="D11199">
        <v>-7340.78</v>
      </c>
    </row>
    <row r="11200" spans="1:4" hidden="1" x14ac:dyDescent="0.25">
      <c r="A11200" t="s">
        <v>704</v>
      </c>
      <c r="B11200" t="s">
        <v>148</v>
      </c>
      <c r="C11200" s="2">
        <f>HYPERLINK("https://sao.dolgi.msk.ru/account/1404290125/", 1404290125)</f>
        <v>1404290125</v>
      </c>
      <c r="D11200">
        <v>-5927.69</v>
      </c>
    </row>
    <row r="11201" spans="1:4" hidden="1" x14ac:dyDescent="0.25">
      <c r="A11201" t="s">
        <v>704</v>
      </c>
      <c r="B11201" t="s">
        <v>149</v>
      </c>
      <c r="C11201" s="2">
        <f>HYPERLINK("https://sao.dolgi.msk.ru/account/1404292788/", 1404292788)</f>
        <v>1404292788</v>
      </c>
      <c r="D11201">
        <v>-4908.37</v>
      </c>
    </row>
    <row r="11202" spans="1:4" hidden="1" x14ac:dyDescent="0.25">
      <c r="A11202" t="s">
        <v>704</v>
      </c>
      <c r="B11202" t="s">
        <v>150</v>
      </c>
      <c r="C11202" s="2">
        <f>HYPERLINK("https://sao.dolgi.msk.ru/account/1404287778/", 1404287778)</f>
        <v>1404287778</v>
      </c>
      <c r="D11202">
        <v>0</v>
      </c>
    </row>
    <row r="11203" spans="1:4" hidden="1" x14ac:dyDescent="0.25">
      <c r="A11203" t="s">
        <v>704</v>
      </c>
      <c r="B11203" t="s">
        <v>151</v>
      </c>
      <c r="C11203" s="2">
        <f>HYPERLINK("https://sao.dolgi.msk.ru/account/1404290168/", 1404290168)</f>
        <v>1404290168</v>
      </c>
      <c r="D11203">
        <v>0</v>
      </c>
    </row>
    <row r="11204" spans="1:4" hidden="1" x14ac:dyDescent="0.25">
      <c r="A11204" t="s">
        <v>704</v>
      </c>
      <c r="B11204" t="s">
        <v>152</v>
      </c>
      <c r="C11204" s="2">
        <f>HYPERLINK("https://sao.dolgi.msk.ru/account/1404291806/", 1404291806)</f>
        <v>1404291806</v>
      </c>
      <c r="D11204">
        <v>-9494.2099999999991</v>
      </c>
    </row>
    <row r="11205" spans="1:4" hidden="1" x14ac:dyDescent="0.25">
      <c r="A11205" t="s">
        <v>704</v>
      </c>
      <c r="B11205" t="s">
        <v>153</v>
      </c>
      <c r="C11205" s="2">
        <f>HYPERLINK("https://sao.dolgi.msk.ru/account/1404287217/", 1404287217)</f>
        <v>1404287217</v>
      </c>
      <c r="D11205">
        <v>-4115.45</v>
      </c>
    </row>
    <row r="11206" spans="1:4" hidden="1" x14ac:dyDescent="0.25">
      <c r="A11206" t="s">
        <v>704</v>
      </c>
      <c r="B11206" t="s">
        <v>154</v>
      </c>
      <c r="C11206" s="2">
        <f>HYPERLINK("https://sao.dolgi.msk.ru/account/1404290379/", 1404290379)</f>
        <v>1404290379</v>
      </c>
      <c r="D11206">
        <v>-3822.12</v>
      </c>
    </row>
    <row r="11207" spans="1:4" hidden="1" x14ac:dyDescent="0.25">
      <c r="A11207" t="s">
        <v>704</v>
      </c>
      <c r="B11207" t="s">
        <v>155</v>
      </c>
      <c r="C11207" s="2">
        <f>HYPERLINK("https://sao.dolgi.msk.ru/account/1404286687/", 1404286687)</f>
        <v>1404286687</v>
      </c>
      <c r="D11207">
        <v>-5835.66</v>
      </c>
    </row>
    <row r="11208" spans="1:4" hidden="1" x14ac:dyDescent="0.25">
      <c r="A11208" t="s">
        <v>704</v>
      </c>
      <c r="B11208" t="s">
        <v>156</v>
      </c>
      <c r="C11208" s="2">
        <f>HYPERLINK("https://sao.dolgi.msk.ru/account/1404289845/", 1404289845)</f>
        <v>1404289845</v>
      </c>
      <c r="D11208">
        <v>-3977.72</v>
      </c>
    </row>
    <row r="11209" spans="1:4" hidden="1" x14ac:dyDescent="0.25">
      <c r="A11209" t="s">
        <v>704</v>
      </c>
      <c r="B11209" t="s">
        <v>157</v>
      </c>
      <c r="C11209" s="2">
        <f>HYPERLINK("https://sao.dolgi.msk.ru/account/1404292462/", 1404292462)</f>
        <v>1404292462</v>
      </c>
      <c r="D11209">
        <v>-4729.93</v>
      </c>
    </row>
    <row r="11210" spans="1:4" x14ac:dyDescent="0.25">
      <c r="A11210" t="s">
        <v>704</v>
      </c>
      <c r="B11210" t="s">
        <v>158</v>
      </c>
      <c r="C11210" s="2">
        <f>HYPERLINK("https://sao.dolgi.msk.ru/account/1404292024/", 1404292024)</f>
        <v>1404292024</v>
      </c>
      <c r="D11210">
        <v>41189.51</v>
      </c>
    </row>
    <row r="11211" spans="1:4" hidden="1" x14ac:dyDescent="0.25">
      <c r="A11211" t="s">
        <v>704</v>
      </c>
      <c r="B11211" t="s">
        <v>159</v>
      </c>
      <c r="C11211" s="2">
        <f>HYPERLINK("https://sao.dolgi.msk.ru/account/1404287225/", 1404287225)</f>
        <v>1404287225</v>
      </c>
      <c r="D11211">
        <v>-4443.5200000000004</v>
      </c>
    </row>
    <row r="11212" spans="1:4" hidden="1" x14ac:dyDescent="0.25">
      <c r="A11212" t="s">
        <v>704</v>
      </c>
      <c r="B11212" t="s">
        <v>160</v>
      </c>
      <c r="C11212" s="2">
        <f>HYPERLINK("https://sao.dolgi.msk.ru/account/1404286871/", 1404286871)</f>
        <v>1404286871</v>
      </c>
      <c r="D11212">
        <v>-7127.86</v>
      </c>
    </row>
    <row r="11213" spans="1:4" hidden="1" x14ac:dyDescent="0.25">
      <c r="A11213" t="s">
        <v>704</v>
      </c>
      <c r="B11213" t="s">
        <v>161</v>
      </c>
      <c r="C11213" s="2">
        <f>HYPERLINK("https://sao.dolgi.msk.ru/account/1404291734/", 1404291734)</f>
        <v>1404291734</v>
      </c>
      <c r="D11213">
        <v>-3965.66</v>
      </c>
    </row>
    <row r="11214" spans="1:4" x14ac:dyDescent="0.25">
      <c r="A11214" t="s">
        <v>704</v>
      </c>
      <c r="B11214" t="s">
        <v>162</v>
      </c>
      <c r="C11214" s="2">
        <f>HYPERLINK("https://sao.dolgi.msk.ru/account/1404289079/", 1404289079)</f>
        <v>1404289079</v>
      </c>
      <c r="D11214">
        <v>7811.28</v>
      </c>
    </row>
    <row r="11215" spans="1:4" hidden="1" x14ac:dyDescent="0.25">
      <c r="A11215" t="s">
        <v>704</v>
      </c>
      <c r="B11215" t="s">
        <v>163</v>
      </c>
      <c r="C11215" s="2">
        <f>HYPERLINK("https://sao.dolgi.msk.ru/account/1404291793/", 1404291793)</f>
        <v>1404291793</v>
      </c>
      <c r="D11215">
        <v>-234.69</v>
      </c>
    </row>
    <row r="11216" spans="1:4" x14ac:dyDescent="0.25">
      <c r="A11216" t="s">
        <v>704</v>
      </c>
      <c r="B11216" t="s">
        <v>164</v>
      </c>
      <c r="C11216" s="2">
        <f>HYPERLINK("https://sao.dolgi.msk.ru/account/1404292446/", 1404292446)</f>
        <v>1404292446</v>
      </c>
      <c r="D11216">
        <v>23614</v>
      </c>
    </row>
    <row r="11217" spans="1:4" hidden="1" x14ac:dyDescent="0.25">
      <c r="A11217" t="s">
        <v>704</v>
      </c>
      <c r="B11217" t="s">
        <v>165</v>
      </c>
      <c r="C11217" s="2">
        <f>HYPERLINK("https://sao.dolgi.msk.ru/account/1404290803/", 1404290803)</f>
        <v>1404290803</v>
      </c>
      <c r="D11217">
        <v>-2335.25</v>
      </c>
    </row>
    <row r="11218" spans="1:4" hidden="1" x14ac:dyDescent="0.25">
      <c r="A11218" t="s">
        <v>704</v>
      </c>
      <c r="B11218" t="s">
        <v>166</v>
      </c>
      <c r="C11218" s="2">
        <f>HYPERLINK("https://sao.dolgi.msk.ru/account/1404292294/", 1404292294)</f>
        <v>1404292294</v>
      </c>
      <c r="D11218">
        <v>0</v>
      </c>
    </row>
    <row r="11219" spans="1:4" x14ac:dyDescent="0.25">
      <c r="A11219" t="s">
        <v>704</v>
      </c>
      <c r="B11219" t="s">
        <v>167</v>
      </c>
      <c r="C11219" s="2">
        <f>HYPERLINK("https://sao.dolgi.msk.ru/account/1404288009/", 1404288009)</f>
        <v>1404288009</v>
      </c>
      <c r="D11219">
        <v>5975.4</v>
      </c>
    </row>
    <row r="11220" spans="1:4" x14ac:dyDescent="0.25">
      <c r="A11220" t="s">
        <v>704</v>
      </c>
      <c r="B11220" t="s">
        <v>167</v>
      </c>
      <c r="C11220" s="2">
        <f>HYPERLINK("https://sao.dolgi.msk.ru/account/1404288519/", 1404288519)</f>
        <v>1404288519</v>
      </c>
      <c r="D11220">
        <v>13587.84</v>
      </c>
    </row>
    <row r="11221" spans="1:4" hidden="1" x14ac:dyDescent="0.25">
      <c r="A11221" t="s">
        <v>704</v>
      </c>
      <c r="B11221" t="s">
        <v>168</v>
      </c>
      <c r="C11221" s="2">
        <f>HYPERLINK("https://sao.dolgi.msk.ru/account/1404290416/", 1404290416)</f>
        <v>1404290416</v>
      </c>
      <c r="D11221">
        <v>-3606.97</v>
      </c>
    </row>
    <row r="11222" spans="1:4" hidden="1" x14ac:dyDescent="0.25">
      <c r="A11222" t="s">
        <v>704</v>
      </c>
      <c r="B11222" t="s">
        <v>169</v>
      </c>
      <c r="C11222" s="2">
        <f>HYPERLINK("https://sao.dolgi.msk.ru/account/1404293027/", 1404293027)</f>
        <v>1404293027</v>
      </c>
      <c r="D11222">
        <v>-3219.84</v>
      </c>
    </row>
    <row r="11223" spans="1:4" hidden="1" x14ac:dyDescent="0.25">
      <c r="A11223" t="s">
        <v>704</v>
      </c>
      <c r="B11223" t="s">
        <v>170</v>
      </c>
      <c r="C11223" s="2">
        <f>HYPERLINK("https://sao.dolgi.msk.ru/account/1404288594/", 1404288594)</f>
        <v>1404288594</v>
      </c>
      <c r="D11223">
        <v>-2668.68</v>
      </c>
    </row>
    <row r="11224" spans="1:4" hidden="1" x14ac:dyDescent="0.25">
      <c r="A11224" t="s">
        <v>704</v>
      </c>
      <c r="B11224" t="s">
        <v>171</v>
      </c>
      <c r="C11224" s="2">
        <f>HYPERLINK("https://sao.dolgi.msk.ru/account/1404289933/", 1404289933)</f>
        <v>1404289933</v>
      </c>
      <c r="D11224">
        <v>-4074.13</v>
      </c>
    </row>
    <row r="11225" spans="1:4" x14ac:dyDescent="0.25">
      <c r="A11225" t="s">
        <v>704</v>
      </c>
      <c r="B11225" t="s">
        <v>172</v>
      </c>
      <c r="C11225" s="2">
        <f>HYPERLINK("https://sao.dolgi.msk.ru/account/1404289992/", 1404289992)</f>
        <v>1404289992</v>
      </c>
      <c r="D11225">
        <v>18988.89</v>
      </c>
    </row>
    <row r="11226" spans="1:4" hidden="1" x14ac:dyDescent="0.25">
      <c r="A11226" t="s">
        <v>704</v>
      </c>
      <c r="B11226" t="s">
        <v>173</v>
      </c>
      <c r="C11226" s="2">
        <f>HYPERLINK("https://sao.dolgi.msk.ru/account/1404292569/", 1404292569)</f>
        <v>1404292569</v>
      </c>
      <c r="D11226">
        <v>0</v>
      </c>
    </row>
    <row r="11227" spans="1:4" hidden="1" x14ac:dyDescent="0.25">
      <c r="A11227" t="s">
        <v>704</v>
      </c>
      <c r="B11227" t="s">
        <v>174</v>
      </c>
      <c r="C11227" s="2">
        <f>HYPERLINK("https://sao.dolgi.msk.ru/account/1404289917/", 1404289917)</f>
        <v>1404289917</v>
      </c>
      <c r="D11227">
        <v>-2170.91</v>
      </c>
    </row>
    <row r="11228" spans="1:4" hidden="1" x14ac:dyDescent="0.25">
      <c r="A11228" t="s">
        <v>704</v>
      </c>
      <c r="B11228" t="s">
        <v>174</v>
      </c>
      <c r="C11228" s="2">
        <f>HYPERLINK("https://sao.dolgi.msk.ru/account/1404292323/", 1404292323)</f>
        <v>1404292323</v>
      </c>
      <c r="D11228">
        <v>-2468.27</v>
      </c>
    </row>
    <row r="11229" spans="1:4" hidden="1" x14ac:dyDescent="0.25">
      <c r="A11229" t="s">
        <v>704</v>
      </c>
      <c r="B11229" t="s">
        <v>175</v>
      </c>
      <c r="C11229" s="2">
        <f>HYPERLINK("https://sao.dolgi.msk.ru/account/1404288391/", 1404288391)</f>
        <v>1404288391</v>
      </c>
      <c r="D11229">
        <v>-3615.74</v>
      </c>
    </row>
    <row r="11230" spans="1:4" hidden="1" x14ac:dyDescent="0.25">
      <c r="A11230" t="s">
        <v>704</v>
      </c>
      <c r="B11230" t="s">
        <v>176</v>
      </c>
      <c r="C11230" s="2">
        <f>HYPERLINK("https://sao.dolgi.msk.ru/account/1404286003/", 1404286003)</f>
        <v>1404286003</v>
      </c>
      <c r="D11230">
        <v>-5141.21</v>
      </c>
    </row>
    <row r="11231" spans="1:4" hidden="1" x14ac:dyDescent="0.25">
      <c r="A11231" t="s">
        <v>704</v>
      </c>
      <c r="B11231" t="s">
        <v>177</v>
      </c>
      <c r="C11231" s="2">
        <f>HYPERLINK("https://sao.dolgi.msk.ru/account/1404291873/", 1404291873)</f>
        <v>1404291873</v>
      </c>
      <c r="D11231">
        <v>-3706.91</v>
      </c>
    </row>
    <row r="11232" spans="1:4" hidden="1" x14ac:dyDescent="0.25">
      <c r="A11232" t="s">
        <v>704</v>
      </c>
      <c r="B11232" t="s">
        <v>178</v>
      </c>
      <c r="C11232" s="2">
        <f>HYPERLINK("https://sao.dolgi.msk.ru/account/1404290205/", 1404290205)</f>
        <v>1404290205</v>
      </c>
      <c r="D11232">
        <v>-42.2</v>
      </c>
    </row>
    <row r="11233" spans="1:4" hidden="1" x14ac:dyDescent="0.25">
      <c r="A11233" t="s">
        <v>704</v>
      </c>
      <c r="B11233" t="s">
        <v>179</v>
      </c>
      <c r="C11233" s="2">
        <f>HYPERLINK("https://sao.dolgi.msk.ru/account/1404291144/", 1404291144)</f>
        <v>1404291144</v>
      </c>
      <c r="D11233">
        <v>-7704.03</v>
      </c>
    </row>
    <row r="11234" spans="1:4" x14ac:dyDescent="0.25">
      <c r="A11234" t="s">
        <v>704</v>
      </c>
      <c r="B11234" t="s">
        <v>180</v>
      </c>
      <c r="C11234" s="2">
        <f>HYPERLINK("https://sao.dolgi.msk.ru/account/1404290766/", 1404290766)</f>
        <v>1404290766</v>
      </c>
      <c r="D11234">
        <v>55863.86</v>
      </c>
    </row>
    <row r="11235" spans="1:4" hidden="1" x14ac:dyDescent="0.25">
      <c r="A11235" t="s">
        <v>704</v>
      </c>
      <c r="B11235" t="s">
        <v>181</v>
      </c>
      <c r="C11235" s="2">
        <f>HYPERLINK("https://sao.dolgi.msk.ru/account/1404290192/", 1404290192)</f>
        <v>1404290192</v>
      </c>
      <c r="D11235">
        <v>-3894.47</v>
      </c>
    </row>
    <row r="11236" spans="1:4" hidden="1" x14ac:dyDescent="0.25">
      <c r="A11236" t="s">
        <v>704</v>
      </c>
      <c r="B11236" t="s">
        <v>182</v>
      </c>
      <c r="C11236" s="2">
        <f>HYPERLINK("https://sao.dolgi.msk.ru/account/1404292964/", 1404292964)</f>
        <v>1404292964</v>
      </c>
      <c r="D11236">
        <v>-7362.16</v>
      </c>
    </row>
    <row r="11237" spans="1:4" hidden="1" x14ac:dyDescent="0.25">
      <c r="A11237" t="s">
        <v>704</v>
      </c>
      <c r="B11237" t="s">
        <v>183</v>
      </c>
      <c r="C11237" s="2">
        <f>HYPERLINK("https://sao.dolgi.msk.ru/account/1404288316/", 1404288316)</f>
        <v>1404288316</v>
      </c>
      <c r="D11237">
        <v>-5918.69</v>
      </c>
    </row>
    <row r="11238" spans="1:4" hidden="1" x14ac:dyDescent="0.25">
      <c r="A11238" t="s">
        <v>704</v>
      </c>
      <c r="B11238" t="s">
        <v>184</v>
      </c>
      <c r="C11238" s="2">
        <f>HYPERLINK("https://sao.dolgi.msk.ru/account/1404290301/", 1404290301)</f>
        <v>1404290301</v>
      </c>
      <c r="D11238">
        <v>-5891.33</v>
      </c>
    </row>
    <row r="11239" spans="1:4" hidden="1" x14ac:dyDescent="0.25">
      <c r="A11239" t="s">
        <v>704</v>
      </c>
      <c r="B11239" t="s">
        <v>185</v>
      </c>
      <c r="C11239" s="2">
        <f>HYPERLINK("https://sao.dolgi.msk.ru/account/1404286337/", 1404286337)</f>
        <v>1404286337</v>
      </c>
      <c r="D11239">
        <v>-2214.4499999999998</v>
      </c>
    </row>
    <row r="11240" spans="1:4" hidden="1" x14ac:dyDescent="0.25">
      <c r="A11240" t="s">
        <v>704</v>
      </c>
      <c r="B11240" t="s">
        <v>186</v>
      </c>
      <c r="C11240" s="2">
        <f>HYPERLINK("https://sao.dolgi.msk.ru/account/1404292235/", 1404292235)</f>
        <v>1404292235</v>
      </c>
      <c r="D11240">
        <v>-53.21</v>
      </c>
    </row>
    <row r="11241" spans="1:4" hidden="1" x14ac:dyDescent="0.25">
      <c r="A11241" t="s">
        <v>704</v>
      </c>
      <c r="B11241" t="s">
        <v>187</v>
      </c>
      <c r="C11241" s="2">
        <f>HYPERLINK("https://sao.dolgi.msk.ru/account/1404289896/", 1404289896)</f>
        <v>1404289896</v>
      </c>
      <c r="D11241">
        <v>-6521.72</v>
      </c>
    </row>
    <row r="11242" spans="1:4" x14ac:dyDescent="0.25">
      <c r="A11242" t="s">
        <v>704</v>
      </c>
      <c r="B11242" t="s">
        <v>188</v>
      </c>
      <c r="C11242" s="2">
        <f>HYPERLINK("https://sao.dolgi.msk.ru/account/1404293502/", 1404293502)</f>
        <v>1404293502</v>
      </c>
      <c r="D11242">
        <v>8973.01</v>
      </c>
    </row>
    <row r="11243" spans="1:4" hidden="1" x14ac:dyDescent="0.25">
      <c r="A11243" t="s">
        <v>704</v>
      </c>
      <c r="B11243" t="s">
        <v>189</v>
      </c>
      <c r="C11243" s="2">
        <f>HYPERLINK("https://sao.dolgi.msk.ru/account/1404289909/", 1404289909)</f>
        <v>1404289909</v>
      </c>
      <c r="D11243">
        <v>0</v>
      </c>
    </row>
    <row r="11244" spans="1:4" x14ac:dyDescent="0.25">
      <c r="A11244" t="s">
        <v>704</v>
      </c>
      <c r="B11244" t="s">
        <v>190</v>
      </c>
      <c r="C11244" s="2">
        <f>HYPERLINK("https://sao.dolgi.msk.ru/account/1404289781/", 1404289781)</f>
        <v>1404289781</v>
      </c>
      <c r="D11244">
        <v>25407.47</v>
      </c>
    </row>
    <row r="11245" spans="1:4" x14ac:dyDescent="0.25">
      <c r="A11245" t="s">
        <v>704</v>
      </c>
      <c r="B11245" t="s">
        <v>191</v>
      </c>
      <c r="C11245" s="2">
        <f>HYPERLINK("https://sao.dolgi.msk.ru/account/1404292083/", 1404292083)</f>
        <v>1404292083</v>
      </c>
      <c r="D11245">
        <v>67.55</v>
      </c>
    </row>
    <row r="11246" spans="1:4" hidden="1" x14ac:dyDescent="0.25">
      <c r="A11246" t="s">
        <v>704</v>
      </c>
      <c r="B11246" t="s">
        <v>192</v>
      </c>
      <c r="C11246" s="2">
        <f>HYPERLINK("https://sao.dolgi.msk.ru/account/1404289837/", 1404289837)</f>
        <v>1404289837</v>
      </c>
      <c r="D11246">
        <v>-4362.49</v>
      </c>
    </row>
    <row r="11247" spans="1:4" hidden="1" x14ac:dyDescent="0.25">
      <c r="A11247" t="s">
        <v>704</v>
      </c>
      <c r="B11247" t="s">
        <v>193</v>
      </c>
      <c r="C11247" s="2">
        <f>HYPERLINK("https://sao.dolgi.msk.ru/account/1404293334/", 1404293334)</f>
        <v>1404293334</v>
      </c>
      <c r="D11247">
        <v>0</v>
      </c>
    </row>
    <row r="11248" spans="1:4" x14ac:dyDescent="0.25">
      <c r="A11248" t="s">
        <v>704</v>
      </c>
      <c r="B11248" t="s">
        <v>194</v>
      </c>
      <c r="C11248" s="2">
        <f>HYPERLINK("https://sao.dolgi.msk.ru/account/1404289693/", 1404289693)</f>
        <v>1404289693</v>
      </c>
      <c r="D11248">
        <v>22585.09</v>
      </c>
    </row>
    <row r="11249" spans="1:4" x14ac:dyDescent="0.25">
      <c r="A11249" t="s">
        <v>704</v>
      </c>
      <c r="B11249" t="s">
        <v>195</v>
      </c>
      <c r="C11249" s="2">
        <f>HYPERLINK("https://sao.dolgi.msk.ru/account/1404293086/", 1404293086)</f>
        <v>1404293086</v>
      </c>
      <c r="D11249">
        <v>12072</v>
      </c>
    </row>
    <row r="11250" spans="1:4" hidden="1" x14ac:dyDescent="0.25">
      <c r="A11250" t="s">
        <v>704</v>
      </c>
      <c r="B11250" t="s">
        <v>196</v>
      </c>
      <c r="C11250" s="2">
        <f>HYPERLINK("https://sao.dolgi.msk.ru/account/1404287364/", 1404287364)</f>
        <v>1404287364</v>
      </c>
      <c r="D11250">
        <v>-6287.85</v>
      </c>
    </row>
    <row r="11251" spans="1:4" x14ac:dyDescent="0.25">
      <c r="A11251" t="s">
        <v>704</v>
      </c>
      <c r="B11251" t="s">
        <v>197</v>
      </c>
      <c r="C11251" s="2">
        <f>HYPERLINK("https://sao.dolgi.msk.ru/account/1404286185/", 1404286185)</f>
        <v>1404286185</v>
      </c>
      <c r="D11251">
        <v>2014.25</v>
      </c>
    </row>
    <row r="11252" spans="1:4" hidden="1" x14ac:dyDescent="0.25">
      <c r="A11252" t="s">
        <v>704</v>
      </c>
      <c r="B11252" t="s">
        <v>198</v>
      </c>
      <c r="C11252" s="2">
        <f>HYPERLINK("https://sao.dolgi.msk.ru/account/1404291072/", 1404291072)</f>
        <v>1404291072</v>
      </c>
      <c r="D11252">
        <v>-5908.46</v>
      </c>
    </row>
    <row r="11253" spans="1:4" hidden="1" x14ac:dyDescent="0.25">
      <c r="A11253" t="s">
        <v>704</v>
      </c>
      <c r="B11253" t="s">
        <v>199</v>
      </c>
      <c r="C11253" s="2">
        <f>HYPERLINK("https://sao.dolgi.msk.ru/account/1404293414/", 1404293414)</f>
        <v>1404293414</v>
      </c>
      <c r="D11253">
        <v>-5983.35</v>
      </c>
    </row>
    <row r="11254" spans="1:4" hidden="1" x14ac:dyDescent="0.25">
      <c r="A11254" t="s">
        <v>704</v>
      </c>
      <c r="B11254" t="s">
        <v>200</v>
      </c>
      <c r="C11254" s="2">
        <f>HYPERLINK("https://sao.dolgi.msk.ru/account/1404290483/", 1404290483)</f>
        <v>1404290483</v>
      </c>
      <c r="D11254">
        <v>-6994.13</v>
      </c>
    </row>
    <row r="11255" spans="1:4" hidden="1" x14ac:dyDescent="0.25">
      <c r="A11255" t="s">
        <v>704</v>
      </c>
      <c r="B11255" t="s">
        <v>201</v>
      </c>
      <c r="C11255" s="2">
        <f>HYPERLINK("https://sao.dolgi.msk.ru/account/1404291945/", 1404291945)</f>
        <v>1404291945</v>
      </c>
      <c r="D11255">
        <v>-5314.03</v>
      </c>
    </row>
    <row r="11256" spans="1:4" hidden="1" x14ac:dyDescent="0.25">
      <c r="A11256" t="s">
        <v>704</v>
      </c>
      <c r="B11256" t="s">
        <v>202</v>
      </c>
      <c r="C11256" s="2">
        <f>HYPERLINK("https://sao.dolgi.msk.ru/account/1404288762/", 1404288762)</f>
        <v>1404288762</v>
      </c>
      <c r="D11256">
        <v>-6010.47</v>
      </c>
    </row>
    <row r="11257" spans="1:4" hidden="1" x14ac:dyDescent="0.25">
      <c r="A11257" t="s">
        <v>704</v>
      </c>
      <c r="B11257" t="s">
        <v>203</v>
      </c>
      <c r="C11257" s="2">
        <f>HYPERLINK("https://sao.dolgi.msk.ru/account/1404291101/", 1404291101)</f>
        <v>1404291101</v>
      </c>
      <c r="D11257">
        <v>-8280.02</v>
      </c>
    </row>
    <row r="11258" spans="1:4" hidden="1" x14ac:dyDescent="0.25">
      <c r="A11258" t="s">
        <v>704</v>
      </c>
      <c r="B11258" t="s">
        <v>204</v>
      </c>
      <c r="C11258" s="2">
        <f>HYPERLINK("https://sao.dolgi.msk.ru/account/1404291275/", 1404291275)</f>
        <v>1404291275</v>
      </c>
      <c r="D11258">
        <v>-6890.75</v>
      </c>
    </row>
    <row r="11259" spans="1:4" x14ac:dyDescent="0.25">
      <c r="A11259" t="s">
        <v>704</v>
      </c>
      <c r="B11259" t="s">
        <v>205</v>
      </c>
      <c r="C11259" s="2">
        <f>HYPERLINK("https://sao.dolgi.msk.ru/account/1404292577/", 1404292577)</f>
        <v>1404292577</v>
      </c>
      <c r="D11259">
        <v>56252.38</v>
      </c>
    </row>
    <row r="11260" spans="1:4" hidden="1" x14ac:dyDescent="0.25">
      <c r="A11260" t="s">
        <v>704</v>
      </c>
      <c r="B11260" t="s">
        <v>206</v>
      </c>
      <c r="C11260" s="2">
        <f>HYPERLINK("https://sao.dolgi.msk.ru/account/1404286169/", 1404286169)</f>
        <v>1404286169</v>
      </c>
      <c r="D11260">
        <v>-2891.19</v>
      </c>
    </row>
    <row r="11261" spans="1:4" x14ac:dyDescent="0.25">
      <c r="A11261" t="s">
        <v>704</v>
      </c>
      <c r="B11261" t="s">
        <v>207</v>
      </c>
      <c r="C11261" s="2">
        <f>HYPERLINK("https://sao.dolgi.msk.ru/account/1404286556/", 1404286556)</f>
        <v>1404286556</v>
      </c>
      <c r="D11261">
        <v>8807.84</v>
      </c>
    </row>
    <row r="11262" spans="1:4" hidden="1" x14ac:dyDescent="0.25">
      <c r="A11262" t="s">
        <v>704</v>
      </c>
      <c r="B11262" t="s">
        <v>208</v>
      </c>
      <c r="C11262" s="2">
        <f>HYPERLINK("https://sao.dolgi.msk.ru/account/1404287145/", 1404287145)</f>
        <v>1404287145</v>
      </c>
      <c r="D11262">
        <v>0</v>
      </c>
    </row>
    <row r="11263" spans="1:4" x14ac:dyDescent="0.25">
      <c r="A11263" t="s">
        <v>704</v>
      </c>
      <c r="B11263" t="s">
        <v>209</v>
      </c>
      <c r="C11263" s="2">
        <f>HYPERLINK("https://sao.dolgi.msk.ru/account/1404292518/", 1404292518)</f>
        <v>1404292518</v>
      </c>
      <c r="D11263">
        <v>6531.89</v>
      </c>
    </row>
    <row r="11264" spans="1:4" hidden="1" x14ac:dyDescent="0.25">
      <c r="A11264" t="s">
        <v>704</v>
      </c>
      <c r="B11264" t="s">
        <v>210</v>
      </c>
      <c r="C11264" s="2">
        <f>HYPERLINK("https://sao.dolgi.msk.ru/account/1404288607/", 1404288607)</f>
        <v>1404288607</v>
      </c>
      <c r="D11264">
        <v>-5942.67</v>
      </c>
    </row>
    <row r="11265" spans="1:4" hidden="1" x14ac:dyDescent="0.25">
      <c r="A11265" t="s">
        <v>704</v>
      </c>
      <c r="B11265" t="s">
        <v>211</v>
      </c>
      <c r="C11265" s="2">
        <f>HYPERLINK("https://sao.dolgi.msk.ru/account/1404288199/", 1404288199)</f>
        <v>1404288199</v>
      </c>
      <c r="D11265">
        <v>-6104.89</v>
      </c>
    </row>
    <row r="11266" spans="1:4" hidden="1" x14ac:dyDescent="0.25">
      <c r="A11266" t="s">
        <v>704</v>
      </c>
      <c r="B11266" t="s">
        <v>212</v>
      </c>
      <c r="C11266" s="2">
        <f>HYPERLINK("https://sao.dolgi.msk.ru/account/1404289503/", 1404289503)</f>
        <v>1404289503</v>
      </c>
      <c r="D11266">
        <v>-2754.61</v>
      </c>
    </row>
    <row r="11267" spans="1:4" hidden="1" x14ac:dyDescent="0.25">
      <c r="A11267" t="s">
        <v>704</v>
      </c>
      <c r="B11267" t="s">
        <v>212</v>
      </c>
      <c r="C11267" s="2">
        <f>HYPERLINK("https://sao.dolgi.msk.ru/account/1404292657/", 1404292657)</f>
        <v>1404292657</v>
      </c>
      <c r="D11267">
        <v>-3492.24</v>
      </c>
    </row>
    <row r="11268" spans="1:4" hidden="1" x14ac:dyDescent="0.25">
      <c r="A11268" t="s">
        <v>704</v>
      </c>
      <c r="B11268" t="s">
        <v>213</v>
      </c>
      <c r="C11268" s="2">
        <f>HYPERLINK("https://sao.dolgi.msk.ru/account/1404288201/", 1404288201)</f>
        <v>1404288201</v>
      </c>
      <c r="D11268">
        <v>0</v>
      </c>
    </row>
    <row r="11269" spans="1:4" hidden="1" x14ac:dyDescent="0.25">
      <c r="A11269" t="s">
        <v>704</v>
      </c>
      <c r="B11269" t="s">
        <v>214</v>
      </c>
      <c r="C11269" s="2">
        <f>HYPERLINK("https://sao.dolgi.msk.ru/account/1404286839/", 1404286839)</f>
        <v>1404286839</v>
      </c>
      <c r="D11269">
        <v>-7007.27</v>
      </c>
    </row>
    <row r="11270" spans="1:4" hidden="1" x14ac:dyDescent="0.25">
      <c r="A11270" t="s">
        <v>704</v>
      </c>
      <c r="B11270" t="s">
        <v>215</v>
      </c>
      <c r="C11270" s="2">
        <f>HYPERLINK("https://sao.dolgi.msk.ru/account/1404293297/", 1404293297)</f>
        <v>1404293297</v>
      </c>
      <c r="D11270">
        <v>-3493.67</v>
      </c>
    </row>
    <row r="11271" spans="1:4" hidden="1" x14ac:dyDescent="0.25">
      <c r="A11271" t="s">
        <v>704</v>
      </c>
      <c r="B11271" t="s">
        <v>216</v>
      </c>
      <c r="C11271" s="2">
        <f>HYPERLINK("https://sao.dolgi.msk.ru/account/1404286409/", 1404286409)</f>
        <v>1404286409</v>
      </c>
      <c r="D11271">
        <v>0</v>
      </c>
    </row>
    <row r="11272" spans="1:4" hidden="1" x14ac:dyDescent="0.25">
      <c r="A11272" t="s">
        <v>704</v>
      </c>
      <c r="B11272" t="s">
        <v>217</v>
      </c>
      <c r="C11272" s="2">
        <f>HYPERLINK("https://sao.dolgi.msk.ru/account/1404290555/", 1404290555)</f>
        <v>1404290555</v>
      </c>
      <c r="D11272">
        <v>-5167.13</v>
      </c>
    </row>
    <row r="11273" spans="1:4" hidden="1" x14ac:dyDescent="0.25">
      <c r="A11273" t="s">
        <v>704</v>
      </c>
      <c r="B11273" t="s">
        <v>218</v>
      </c>
      <c r="C11273" s="2">
        <f>HYPERLINK("https://sao.dolgi.msk.ru/account/1404292251/", 1404292251)</f>
        <v>1404292251</v>
      </c>
      <c r="D11273">
        <v>-12856.4</v>
      </c>
    </row>
    <row r="11274" spans="1:4" hidden="1" x14ac:dyDescent="0.25">
      <c r="A11274" t="s">
        <v>704</v>
      </c>
      <c r="B11274" t="s">
        <v>219</v>
      </c>
      <c r="C11274" s="2">
        <f>HYPERLINK("https://sao.dolgi.msk.ru/account/1404289247/", 1404289247)</f>
        <v>1404289247</v>
      </c>
      <c r="D11274">
        <v>-2331.0300000000002</v>
      </c>
    </row>
    <row r="11275" spans="1:4" x14ac:dyDescent="0.25">
      <c r="A11275" t="s">
        <v>704</v>
      </c>
      <c r="B11275" t="s">
        <v>220</v>
      </c>
      <c r="C11275" s="2">
        <f>HYPERLINK("https://sao.dolgi.msk.ru/account/1404293684/", 1404293684)</f>
        <v>1404293684</v>
      </c>
      <c r="D11275">
        <v>22190.99</v>
      </c>
    </row>
    <row r="11276" spans="1:4" hidden="1" x14ac:dyDescent="0.25">
      <c r="A11276" t="s">
        <v>704</v>
      </c>
      <c r="B11276" t="s">
        <v>221</v>
      </c>
      <c r="C11276" s="2">
        <f>HYPERLINK("https://sao.dolgi.msk.ru/account/1404292403/", 1404292403)</f>
        <v>1404292403</v>
      </c>
      <c r="D11276">
        <v>-8732.1200000000008</v>
      </c>
    </row>
    <row r="11277" spans="1:4" hidden="1" x14ac:dyDescent="0.25">
      <c r="A11277" t="s">
        <v>704</v>
      </c>
      <c r="B11277" t="s">
        <v>222</v>
      </c>
      <c r="C11277" s="2">
        <f>HYPERLINK("https://sao.dolgi.msk.ru/account/1404287663/", 1404287663)</f>
        <v>1404287663</v>
      </c>
      <c r="D11277">
        <v>-5188.54</v>
      </c>
    </row>
    <row r="11278" spans="1:4" hidden="1" x14ac:dyDescent="0.25">
      <c r="A11278" t="s">
        <v>704</v>
      </c>
      <c r="B11278" t="s">
        <v>223</v>
      </c>
      <c r="C11278" s="2">
        <f>HYPERLINK("https://sao.dolgi.msk.ru/account/1404288244/", 1404288244)</f>
        <v>1404288244</v>
      </c>
      <c r="D11278">
        <v>-2806.97</v>
      </c>
    </row>
    <row r="11279" spans="1:4" hidden="1" x14ac:dyDescent="0.25">
      <c r="A11279" t="s">
        <v>704</v>
      </c>
      <c r="B11279" t="s">
        <v>224</v>
      </c>
      <c r="C11279" s="2">
        <f>HYPERLINK("https://sao.dolgi.msk.ru/account/1404293174/", 1404293174)</f>
        <v>1404293174</v>
      </c>
      <c r="D11279">
        <v>-3866.64</v>
      </c>
    </row>
    <row r="11280" spans="1:4" hidden="1" x14ac:dyDescent="0.25">
      <c r="A11280" t="s">
        <v>704</v>
      </c>
      <c r="B11280" t="s">
        <v>225</v>
      </c>
      <c r="C11280" s="2">
        <f>HYPERLINK("https://sao.dolgi.msk.ru/account/1404288586/", 1404288586)</f>
        <v>1404288586</v>
      </c>
      <c r="D11280">
        <v>-4843.07</v>
      </c>
    </row>
    <row r="11281" spans="1:4" hidden="1" x14ac:dyDescent="0.25">
      <c r="A11281" t="s">
        <v>704</v>
      </c>
      <c r="B11281" t="s">
        <v>226</v>
      </c>
      <c r="C11281" s="2">
        <f>HYPERLINK("https://sao.dolgi.msk.ru/account/1404292075/", 1404292075)</f>
        <v>1404292075</v>
      </c>
      <c r="D11281">
        <v>-7140.44</v>
      </c>
    </row>
    <row r="11282" spans="1:4" hidden="1" x14ac:dyDescent="0.25">
      <c r="A11282" t="s">
        <v>704</v>
      </c>
      <c r="B11282" t="s">
        <v>227</v>
      </c>
      <c r="C11282" s="2">
        <f>HYPERLINK("https://sao.dolgi.msk.ru/account/1404288164/", 1404288164)</f>
        <v>1404288164</v>
      </c>
      <c r="D11282">
        <v>-106.86</v>
      </c>
    </row>
    <row r="11283" spans="1:4" hidden="1" x14ac:dyDescent="0.25">
      <c r="A11283" t="s">
        <v>704</v>
      </c>
      <c r="B11283" t="s">
        <v>228</v>
      </c>
      <c r="C11283" s="2">
        <f>HYPERLINK("https://sao.dolgi.msk.ru/account/1404286134/", 1404286134)</f>
        <v>1404286134</v>
      </c>
      <c r="D11283">
        <v>0</v>
      </c>
    </row>
    <row r="11284" spans="1:4" hidden="1" x14ac:dyDescent="0.25">
      <c r="A11284" t="s">
        <v>704</v>
      </c>
      <c r="B11284" t="s">
        <v>228</v>
      </c>
      <c r="C11284" s="2">
        <f>HYPERLINK("https://sao.dolgi.msk.ru/account/1404287655/", 1404287655)</f>
        <v>1404287655</v>
      </c>
      <c r="D11284">
        <v>0</v>
      </c>
    </row>
    <row r="11285" spans="1:4" hidden="1" x14ac:dyDescent="0.25">
      <c r="A11285" t="s">
        <v>704</v>
      </c>
      <c r="B11285" t="s">
        <v>229</v>
      </c>
      <c r="C11285" s="2">
        <f>HYPERLINK("https://sao.dolgi.msk.ru/account/1404286628/", 1404286628)</f>
        <v>1404286628</v>
      </c>
      <c r="D11285">
        <v>-5771.15</v>
      </c>
    </row>
    <row r="11286" spans="1:4" x14ac:dyDescent="0.25">
      <c r="A11286" t="s">
        <v>704</v>
      </c>
      <c r="B11286" t="s">
        <v>230</v>
      </c>
      <c r="C11286" s="2">
        <f>HYPERLINK("https://sao.dolgi.msk.ru/account/1404291291/", 1404291291)</f>
        <v>1404291291</v>
      </c>
      <c r="D11286">
        <v>20271.21</v>
      </c>
    </row>
    <row r="11287" spans="1:4" hidden="1" x14ac:dyDescent="0.25">
      <c r="A11287" t="s">
        <v>704</v>
      </c>
      <c r="B11287" t="s">
        <v>231</v>
      </c>
      <c r="C11287" s="2">
        <f>HYPERLINK("https://sao.dolgi.msk.ru/account/1404287305/", 1404287305)</f>
        <v>1404287305</v>
      </c>
      <c r="D11287">
        <v>-6463.87</v>
      </c>
    </row>
    <row r="11288" spans="1:4" hidden="1" x14ac:dyDescent="0.25">
      <c r="A11288" t="s">
        <v>704</v>
      </c>
      <c r="B11288" t="s">
        <v>232</v>
      </c>
      <c r="C11288" s="2">
        <f>HYPERLINK("https://sao.dolgi.msk.ru/account/1404293182/", 1404293182)</f>
        <v>1404293182</v>
      </c>
      <c r="D11288">
        <v>-7797.37</v>
      </c>
    </row>
    <row r="11289" spans="1:4" hidden="1" x14ac:dyDescent="0.25">
      <c r="A11289" t="s">
        <v>704</v>
      </c>
      <c r="B11289" t="s">
        <v>233</v>
      </c>
      <c r="C11289" s="2">
        <f>HYPERLINK("https://sao.dolgi.msk.ru/account/1404286759/", 1404286759)</f>
        <v>1404286759</v>
      </c>
      <c r="D11289">
        <v>-3598.78</v>
      </c>
    </row>
    <row r="11290" spans="1:4" hidden="1" x14ac:dyDescent="0.25">
      <c r="A11290" t="s">
        <v>704</v>
      </c>
      <c r="B11290" t="s">
        <v>234</v>
      </c>
      <c r="C11290" s="2">
        <f>HYPERLINK("https://sao.dolgi.msk.ru/account/1404289925/", 1404289925)</f>
        <v>1404289925</v>
      </c>
      <c r="D11290">
        <v>0</v>
      </c>
    </row>
    <row r="11291" spans="1:4" hidden="1" x14ac:dyDescent="0.25">
      <c r="A11291" t="s">
        <v>704</v>
      </c>
      <c r="B11291" t="s">
        <v>235</v>
      </c>
      <c r="C11291" s="2">
        <f>HYPERLINK("https://sao.dolgi.msk.ru/account/1404293107/", 1404293107)</f>
        <v>1404293107</v>
      </c>
      <c r="D11291">
        <v>-2827.31</v>
      </c>
    </row>
    <row r="11292" spans="1:4" hidden="1" x14ac:dyDescent="0.25">
      <c r="A11292" t="s">
        <v>704</v>
      </c>
      <c r="B11292" t="s">
        <v>239</v>
      </c>
      <c r="C11292" s="2">
        <f>HYPERLINK("https://sao.dolgi.msk.ru/account/1404287719/", 1404287719)</f>
        <v>1404287719</v>
      </c>
      <c r="D11292">
        <v>-7365.59</v>
      </c>
    </row>
    <row r="11293" spans="1:4" x14ac:dyDescent="0.25">
      <c r="A11293" t="s">
        <v>704</v>
      </c>
      <c r="B11293" t="s">
        <v>240</v>
      </c>
      <c r="C11293" s="2">
        <f>HYPERLINK("https://sao.dolgi.msk.ru/account/1404287241/", 1404287241)</f>
        <v>1404287241</v>
      </c>
      <c r="D11293">
        <v>2943.06</v>
      </c>
    </row>
    <row r="11294" spans="1:4" hidden="1" x14ac:dyDescent="0.25">
      <c r="A11294" t="s">
        <v>704</v>
      </c>
      <c r="B11294" t="s">
        <v>241</v>
      </c>
      <c r="C11294" s="2">
        <f>HYPERLINK("https://sao.dolgi.msk.ru/account/1404289263/", 1404289263)</f>
        <v>1404289263</v>
      </c>
      <c r="D11294">
        <v>-5484.22</v>
      </c>
    </row>
    <row r="11295" spans="1:4" hidden="1" x14ac:dyDescent="0.25">
      <c r="A11295" t="s">
        <v>704</v>
      </c>
      <c r="B11295" t="s">
        <v>242</v>
      </c>
      <c r="C11295" s="2">
        <f>HYPERLINK("https://sao.dolgi.msk.ru/account/1404290977/", 1404290977)</f>
        <v>1404290977</v>
      </c>
      <c r="D11295">
        <v>-8036.26</v>
      </c>
    </row>
    <row r="11296" spans="1:4" hidden="1" x14ac:dyDescent="0.25">
      <c r="A11296" t="s">
        <v>704</v>
      </c>
      <c r="B11296" t="s">
        <v>243</v>
      </c>
      <c r="C11296" s="2">
        <f>HYPERLINK("https://sao.dolgi.msk.ru/account/1404293393/", 1404293393)</f>
        <v>1404293393</v>
      </c>
      <c r="D11296">
        <v>-4435.59</v>
      </c>
    </row>
    <row r="11297" spans="1:4" hidden="1" x14ac:dyDescent="0.25">
      <c r="A11297" t="s">
        <v>704</v>
      </c>
      <c r="B11297" t="s">
        <v>244</v>
      </c>
      <c r="C11297" s="2">
        <f>HYPERLINK("https://sao.dolgi.msk.ru/account/1404291128/", 1404291128)</f>
        <v>1404291128</v>
      </c>
      <c r="D11297">
        <v>-4949.0200000000004</v>
      </c>
    </row>
    <row r="11298" spans="1:4" hidden="1" x14ac:dyDescent="0.25">
      <c r="A11298" t="s">
        <v>704</v>
      </c>
      <c r="B11298" t="s">
        <v>245</v>
      </c>
      <c r="C11298" s="2">
        <f>HYPERLINK("https://sao.dolgi.msk.ru/account/1404289722/", 1404289722)</f>
        <v>1404289722</v>
      </c>
      <c r="D11298">
        <v>-42.49</v>
      </c>
    </row>
    <row r="11299" spans="1:4" hidden="1" x14ac:dyDescent="0.25">
      <c r="A11299" t="s">
        <v>704</v>
      </c>
      <c r="B11299" t="s">
        <v>246</v>
      </c>
      <c r="C11299" s="2">
        <f>HYPERLINK("https://sao.dolgi.msk.ru/account/1404290862/", 1404290862)</f>
        <v>1404290862</v>
      </c>
      <c r="D11299">
        <v>-7022.28</v>
      </c>
    </row>
    <row r="11300" spans="1:4" x14ac:dyDescent="0.25">
      <c r="A11300" t="s">
        <v>704</v>
      </c>
      <c r="B11300" t="s">
        <v>247</v>
      </c>
      <c r="C11300" s="2">
        <f>HYPERLINK("https://sao.dolgi.msk.ru/account/1404292737/", 1404292737)</f>
        <v>1404292737</v>
      </c>
      <c r="D11300">
        <v>15889.94</v>
      </c>
    </row>
    <row r="11301" spans="1:4" hidden="1" x14ac:dyDescent="0.25">
      <c r="A11301" t="s">
        <v>704</v>
      </c>
      <c r="B11301" t="s">
        <v>248</v>
      </c>
      <c r="C11301" s="2">
        <f>HYPERLINK("https://sao.dolgi.msk.ru/account/1404289773/", 1404289773)</f>
        <v>1404289773</v>
      </c>
      <c r="D11301">
        <v>-5293.26</v>
      </c>
    </row>
    <row r="11302" spans="1:4" hidden="1" x14ac:dyDescent="0.25">
      <c r="A11302" t="s">
        <v>704</v>
      </c>
      <c r="B11302" t="s">
        <v>249</v>
      </c>
      <c r="C11302" s="2">
        <f>HYPERLINK("https://sao.dolgi.msk.ru/account/1404291718/", 1404291718)</f>
        <v>1404291718</v>
      </c>
      <c r="D11302">
        <v>-8481.27</v>
      </c>
    </row>
    <row r="11303" spans="1:4" hidden="1" x14ac:dyDescent="0.25">
      <c r="A11303" t="s">
        <v>704</v>
      </c>
      <c r="B11303" t="s">
        <v>250</v>
      </c>
      <c r="C11303" s="2">
        <f>HYPERLINK("https://sao.dolgi.msk.ru/account/1404286994/", 1404286994)</f>
        <v>1404286994</v>
      </c>
      <c r="D11303">
        <v>-12655.38</v>
      </c>
    </row>
    <row r="11304" spans="1:4" hidden="1" x14ac:dyDescent="0.25">
      <c r="A11304" t="s">
        <v>704</v>
      </c>
      <c r="B11304" t="s">
        <v>251</v>
      </c>
      <c r="C11304" s="2">
        <f>HYPERLINK("https://sao.dolgi.msk.ru/account/1404289685/", 1404289685)</f>
        <v>1404289685</v>
      </c>
      <c r="D11304">
        <v>-4517.74</v>
      </c>
    </row>
    <row r="11305" spans="1:4" hidden="1" x14ac:dyDescent="0.25">
      <c r="A11305" t="s">
        <v>704</v>
      </c>
      <c r="B11305" t="s">
        <v>252</v>
      </c>
      <c r="C11305" s="2">
        <f>HYPERLINK("https://sao.dolgi.msk.ru/account/1404287807/", 1404287807)</f>
        <v>1404287807</v>
      </c>
      <c r="D11305">
        <v>-4798.05</v>
      </c>
    </row>
    <row r="11306" spans="1:4" hidden="1" x14ac:dyDescent="0.25">
      <c r="A11306" t="s">
        <v>704</v>
      </c>
      <c r="B11306" t="s">
        <v>253</v>
      </c>
      <c r="C11306" s="2">
        <f>HYPERLINK("https://sao.dolgi.msk.ru/account/1404293246/", 1404293246)</f>
        <v>1404293246</v>
      </c>
      <c r="D11306">
        <v>-6567.59</v>
      </c>
    </row>
    <row r="11307" spans="1:4" x14ac:dyDescent="0.25">
      <c r="A11307" t="s">
        <v>704</v>
      </c>
      <c r="B11307" t="s">
        <v>254</v>
      </c>
      <c r="C11307" s="2">
        <f>HYPERLINK("https://sao.dolgi.msk.ru/account/1404287575/", 1404287575)</f>
        <v>1404287575</v>
      </c>
      <c r="D11307">
        <v>11794.69</v>
      </c>
    </row>
    <row r="11308" spans="1:4" x14ac:dyDescent="0.25">
      <c r="A11308" t="s">
        <v>704</v>
      </c>
      <c r="B11308" t="s">
        <v>255</v>
      </c>
      <c r="C11308" s="2">
        <f>HYPERLINK("https://sao.dolgi.msk.ru/account/1404289941/", 1404289941)</f>
        <v>1404289941</v>
      </c>
      <c r="D11308">
        <v>9192.7000000000007</v>
      </c>
    </row>
    <row r="11309" spans="1:4" hidden="1" x14ac:dyDescent="0.25">
      <c r="A11309" t="s">
        <v>704</v>
      </c>
      <c r="B11309" t="s">
        <v>256</v>
      </c>
      <c r="C11309" s="2">
        <f>HYPERLINK("https://sao.dolgi.msk.ru/account/1404290475/", 1404290475)</f>
        <v>1404290475</v>
      </c>
      <c r="D11309">
        <v>-6127.4</v>
      </c>
    </row>
    <row r="11310" spans="1:4" x14ac:dyDescent="0.25">
      <c r="A11310" t="s">
        <v>704</v>
      </c>
      <c r="B11310" t="s">
        <v>257</v>
      </c>
      <c r="C11310" s="2">
        <f>HYPERLINK("https://sao.dolgi.msk.ru/account/1404291507/", 1404291507)</f>
        <v>1404291507</v>
      </c>
      <c r="D11310">
        <v>10773.85</v>
      </c>
    </row>
    <row r="11311" spans="1:4" hidden="1" x14ac:dyDescent="0.25">
      <c r="A11311" t="s">
        <v>704</v>
      </c>
      <c r="B11311" t="s">
        <v>258</v>
      </c>
      <c r="C11311" s="2">
        <f>HYPERLINK("https://sao.dolgi.msk.ru/account/1404292913/", 1404292913)</f>
        <v>1404292913</v>
      </c>
      <c r="D11311">
        <v>-3792.32</v>
      </c>
    </row>
    <row r="11312" spans="1:4" hidden="1" x14ac:dyDescent="0.25">
      <c r="A11312" t="s">
        <v>704</v>
      </c>
      <c r="B11312" t="s">
        <v>259</v>
      </c>
      <c r="C11312" s="2">
        <f>HYPERLINK("https://sao.dolgi.msk.ru/account/1404289116/", 1404289116)</f>
        <v>1404289116</v>
      </c>
      <c r="D11312">
        <v>-5170.21</v>
      </c>
    </row>
    <row r="11313" spans="1:4" hidden="1" x14ac:dyDescent="0.25">
      <c r="A11313" t="s">
        <v>704</v>
      </c>
      <c r="B11313" t="s">
        <v>260</v>
      </c>
      <c r="C11313" s="2">
        <f>HYPERLINK("https://sao.dolgi.msk.ru/account/1404287209/", 1404287209)</f>
        <v>1404287209</v>
      </c>
      <c r="D11313">
        <v>0</v>
      </c>
    </row>
    <row r="11314" spans="1:4" x14ac:dyDescent="0.25">
      <c r="A11314" t="s">
        <v>704</v>
      </c>
      <c r="B11314" t="s">
        <v>261</v>
      </c>
      <c r="C11314" s="2">
        <f>HYPERLINK("https://sao.dolgi.msk.ru/account/1404290563/", 1404290563)</f>
        <v>1404290563</v>
      </c>
      <c r="D11314">
        <v>246.15</v>
      </c>
    </row>
    <row r="11315" spans="1:4" hidden="1" x14ac:dyDescent="0.25">
      <c r="A11315" t="s">
        <v>704</v>
      </c>
      <c r="B11315" t="s">
        <v>262</v>
      </c>
      <c r="C11315" s="2">
        <f>HYPERLINK("https://sao.dolgi.msk.ru/account/1404290723/", 1404290723)</f>
        <v>1404290723</v>
      </c>
      <c r="D11315">
        <v>-4136.9399999999996</v>
      </c>
    </row>
    <row r="11316" spans="1:4" hidden="1" x14ac:dyDescent="0.25">
      <c r="A11316" t="s">
        <v>704</v>
      </c>
      <c r="B11316" t="s">
        <v>263</v>
      </c>
      <c r="C11316" s="2">
        <f>HYPERLINK("https://sao.dolgi.msk.ru/account/1404288084/", 1404288084)</f>
        <v>1404288084</v>
      </c>
      <c r="D11316">
        <v>-5581.34</v>
      </c>
    </row>
    <row r="11317" spans="1:4" hidden="1" x14ac:dyDescent="0.25">
      <c r="A11317" t="s">
        <v>704</v>
      </c>
      <c r="B11317" t="s">
        <v>264</v>
      </c>
      <c r="C11317" s="2">
        <f>HYPERLINK("https://sao.dolgi.msk.ru/account/1404291654/", 1404291654)</f>
        <v>1404291654</v>
      </c>
      <c r="D11317">
        <v>-3835.85</v>
      </c>
    </row>
    <row r="11318" spans="1:4" hidden="1" x14ac:dyDescent="0.25">
      <c r="A11318" t="s">
        <v>704</v>
      </c>
      <c r="B11318" t="s">
        <v>265</v>
      </c>
      <c r="C11318" s="2">
        <f>HYPERLINK("https://sao.dolgi.msk.ru/account/1404288439/", 1404288439)</f>
        <v>1404288439</v>
      </c>
      <c r="D11318">
        <v>-7917.51</v>
      </c>
    </row>
    <row r="11319" spans="1:4" hidden="1" x14ac:dyDescent="0.25">
      <c r="A11319" t="s">
        <v>704</v>
      </c>
      <c r="B11319" t="s">
        <v>266</v>
      </c>
      <c r="C11319" s="2">
        <f>HYPERLINK("https://sao.dolgi.msk.ru/account/1404287866/", 1404287866)</f>
        <v>1404287866</v>
      </c>
      <c r="D11319">
        <v>-10914.59</v>
      </c>
    </row>
    <row r="11320" spans="1:4" hidden="1" x14ac:dyDescent="0.25">
      <c r="A11320" t="s">
        <v>704</v>
      </c>
      <c r="B11320" t="s">
        <v>267</v>
      </c>
      <c r="C11320" s="2">
        <f>HYPERLINK("https://sao.dolgi.msk.ru/account/1404288252/", 1404288252)</f>
        <v>1404288252</v>
      </c>
      <c r="D11320">
        <v>0</v>
      </c>
    </row>
    <row r="11321" spans="1:4" hidden="1" x14ac:dyDescent="0.25">
      <c r="A11321" t="s">
        <v>704</v>
      </c>
      <c r="B11321" t="s">
        <v>268</v>
      </c>
      <c r="C11321" s="2">
        <f>HYPERLINK("https://sao.dolgi.msk.ru/account/1404293596/", 1404293596)</f>
        <v>1404293596</v>
      </c>
      <c r="D11321">
        <v>-5425.18</v>
      </c>
    </row>
    <row r="11322" spans="1:4" hidden="1" x14ac:dyDescent="0.25">
      <c r="A11322" t="s">
        <v>704</v>
      </c>
      <c r="B11322" t="s">
        <v>269</v>
      </c>
      <c r="C11322" s="2">
        <f>HYPERLINK("https://sao.dolgi.msk.ru/account/1404292155/", 1404292155)</f>
        <v>1404292155</v>
      </c>
      <c r="D11322">
        <v>-6418.97</v>
      </c>
    </row>
    <row r="11323" spans="1:4" hidden="1" x14ac:dyDescent="0.25">
      <c r="A11323" t="s">
        <v>704</v>
      </c>
      <c r="B11323" t="s">
        <v>270</v>
      </c>
      <c r="C11323" s="2">
        <f>HYPERLINK("https://sao.dolgi.msk.ru/account/1404287196/", 1404287196)</f>
        <v>1404287196</v>
      </c>
      <c r="D11323">
        <v>-2990.55</v>
      </c>
    </row>
    <row r="11324" spans="1:4" hidden="1" x14ac:dyDescent="0.25">
      <c r="A11324" t="s">
        <v>704</v>
      </c>
      <c r="B11324" t="s">
        <v>271</v>
      </c>
      <c r="C11324" s="2">
        <f>HYPERLINK("https://sao.dolgi.msk.ru/account/1404291363/", 1404291363)</f>
        <v>1404291363</v>
      </c>
      <c r="D11324">
        <v>-6525.7</v>
      </c>
    </row>
    <row r="11325" spans="1:4" hidden="1" x14ac:dyDescent="0.25">
      <c r="A11325" t="s">
        <v>704</v>
      </c>
      <c r="B11325" t="s">
        <v>272</v>
      </c>
      <c r="C11325" s="2">
        <f>HYPERLINK("https://sao.dolgi.msk.ru/account/1404288615/", 1404288615)</f>
        <v>1404288615</v>
      </c>
      <c r="D11325">
        <v>-7208.32</v>
      </c>
    </row>
    <row r="11326" spans="1:4" hidden="1" x14ac:dyDescent="0.25">
      <c r="A11326" t="s">
        <v>704</v>
      </c>
      <c r="B11326" t="s">
        <v>273</v>
      </c>
      <c r="C11326" s="2">
        <f>HYPERLINK("https://sao.dolgi.msk.ru/account/1404287612/", 1404287612)</f>
        <v>1404287612</v>
      </c>
      <c r="D11326">
        <v>-10687.9</v>
      </c>
    </row>
    <row r="11327" spans="1:4" hidden="1" x14ac:dyDescent="0.25">
      <c r="A11327" t="s">
        <v>704</v>
      </c>
      <c r="B11327" t="s">
        <v>274</v>
      </c>
      <c r="C11327" s="2">
        <f>HYPERLINK("https://sao.dolgi.msk.ru/account/1404292139/", 1404292139)</f>
        <v>1404292139</v>
      </c>
      <c r="D11327">
        <v>-2931.01</v>
      </c>
    </row>
    <row r="11328" spans="1:4" hidden="1" x14ac:dyDescent="0.25">
      <c r="A11328" t="s">
        <v>704</v>
      </c>
      <c r="B11328" t="s">
        <v>275</v>
      </c>
      <c r="C11328" s="2">
        <f>HYPERLINK("https://sao.dolgi.msk.ru/account/1404286206/", 1404286206)</f>
        <v>1404286206</v>
      </c>
      <c r="D11328">
        <v>-4656.8500000000004</v>
      </c>
    </row>
    <row r="11329" spans="1:4" hidden="1" x14ac:dyDescent="0.25">
      <c r="A11329" t="s">
        <v>704</v>
      </c>
      <c r="B11329" t="s">
        <v>276</v>
      </c>
      <c r="C11329" s="2">
        <f>HYPERLINK("https://sao.dolgi.msk.ru/account/1404287882/", 1404287882)</f>
        <v>1404287882</v>
      </c>
      <c r="D11329">
        <v>-5443.95</v>
      </c>
    </row>
    <row r="11330" spans="1:4" hidden="1" x14ac:dyDescent="0.25">
      <c r="A11330" t="s">
        <v>704</v>
      </c>
      <c r="B11330" t="s">
        <v>277</v>
      </c>
      <c r="C11330" s="2">
        <f>HYPERLINK("https://sao.dolgi.msk.ru/account/1404287284/", 1404287284)</f>
        <v>1404287284</v>
      </c>
      <c r="D11330">
        <v>0</v>
      </c>
    </row>
    <row r="11331" spans="1:4" hidden="1" x14ac:dyDescent="0.25">
      <c r="A11331" t="s">
        <v>704</v>
      </c>
      <c r="B11331" t="s">
        <v>278</v>
      </c>
      <c r="C11331" s="2">
        <f>HYPERLINK("https://sao.dolgi.msk.ru/account/1404291283/", 1404291283)</f>
        <v>1404291283</v>
      </c>
      <c r="D11331">
        <v>0</v>
      </c>
    </row>
    <row r="11332" spans="1:4" x14ac:dyDescent="0.25">
      <c r="A11332" t="s">
        <v>704</v>
      </c>
      <c r="B11332" t="s">
        <v>279</v>
      </c>
      <c r="C11332" s="2">
        <f>HYPERLINK("https://sao.dolgi.msk.ru/account/1404286927/", 1404286927)</f>
        <v>1404286927</v>
      </c>
      <c r="D11332">
        <v>27314.29</v>
      </c>
    </row>
    <row r="11333" spans="1:4" hidden="1" x14ac:dyDescent="0.25">
      <c r="A11333" t="s">
        <v>704</v>
      </c>
      <c r="B11333" t="s">
        <v>280</v>
      </c>
      <c r="C11333" s="2">
        <f>HYPERLINK("https://sao.dolgi.msk.ru/account/1404293203/", 1404293203)</f>
        <v>1404293203</v>
      </c>
      <c r="D11333">
        <v>-6442.63</v>
      </c>
    </row>
    <row r="11334" spans="1:4" hidden="1" x14ac:dyDescent="0.25">
      <c r="A11334" t="s">
        <v>704</v>
      </c>
      <c r="B11334" t="s">
        <v>281</v>
      </c>
      <c r="C11334" s="2">
        <f>HYPERLINK("https://sao.dolgi.msk.ru/account/1404288367/", 1404288367)</f>
        <v>1404288367</v>
      </c>
      <c r="D11334">
        <v>-9257.5499999999993</v>
      </c>
    </row>
    <row r="11335" spans="1:4" x14ac:dyDescent="0.25">
      <c r="A11335" t="s">
        <v>704</v>
      </c>
      <c r="B11335" t="s">
        <v>282</v>
      </c>
      <c r="C11335" s="2">
        <f>HYPERLINK("https://sao.dolgi.msk.ru/account/1404288092/", 1404288092)</f>
        <v>1404288092</v>
      </c>
      <c r="D11335">
        <v>9839.43</v>
      </c>
    </row>
    <row r="11336" spans="1:4" hidden="1" x14ac:dyDescent="0.25">
      <c r="A11336" t="s">
        <v>704</v>
      </c>
      <c r="B11336" t="s">
        <v>283</v>
      </c>
      <c r="C11336" s="2">
        <f>HYPERLINK("https://sao.dolgi.msk.ru/account/1404288236/", 1404288236)</f>
        <v>1404288236</v>
      </c>
      <c r="D11336">
        <v>-6731.68</v>
      </c>
    </row>
    <row r="11337" spans="1:4" hidden="1" x14ac:dyDescent="0.25">
      <c r="A11337" t="s">
        <v>704</v>
      </c>
      <c r="B11337" t="s">
        <v>284</v>
      </c>
      <c r="C11337" s="2">
        <f>HYPERLINK("https://sao.dolgi.msk.ru/account/1404292622/", 1404292622)</f>
        <v>1404292622</v>
      </c>
      <c r="D11337">
        <v>-6091.73</v>
      </c>
    </row>
    <row r="11338" spans="1:4" hidden="1" x14ac:dyDescent="0.25">
      <c r="A11338" t="s">
        <v>704</v>
      </c>
      <c r="B11338" t="s">
        <v>285</v>
      </c>
      <c r="C11338" s="2">
        <f>HYPERLINK("https://sao.dolgi.msk.ru/account/1404291347/", 1404291347)</f>
        <v>1404291347</v>
      </c>
      <c r="D11338">
        <v>-172.65</v>
      </c>
    </row>
    <row r="11339" spans="1:4" hidden="1" x14ac:dyDescent="0.25">
      <c r="A11339" t="s">
        <v>704</v>
      </c>
      <c r="B11339" t="s">
        <v>286</v>
      </c>
      <c r="C11339" s="2">
        <f>HYPERLINK("https://sao.dolgi.msk.ru/account/1404292358/", 1404292358)</f>
        <v>1404292358</v>
      </c>
      <c r="D11339">
        <v>0</v>
      </c>
    </row>
    <row r="11340" spans="1:4" x14ac:dyDescent="0.25">
      <c r="A11340" t="s">
        <v>704</v>
      </c>
      <c r="B11340" t="s">
        <v>287</v>
      </c>
      <c r="C11340" s="2">
        <f>HYPERLINK("https://sao.dolgi.msk.ru/account/1404289167/", 1404289167)</f>
        <v>1404289167</v>
      </c>
      <c r="D11340">
        <v>16469.82</v>
      </c>
    </row>
    <row r="11341" spans="1:4" x14ac:dyDescent="0.25">
      <c r="A11341" t="s">
        <v>704</v>
      </c>
      <c r="B11341" t="s">
        <v>288</v>
      </c>
      <c r="C11341" s="2">
        <f>HYPERLINK("https://sao.dolgi.msk.ru/account/1404287401/", 1404287401)</f>
        <v>1404287401</v>
      </c>
      <c r="D11341">
        <v>11711.16</v>
      </c>
    </row>
    <row r="11342" spans="1:4" hidden="1" x14ac:dyDescent="0.25">
      <c r="A11342" t="s">
        <v>704</v>
      </c>
      <c r="B11342" t="s">
        <v>289</v>
      </c>
      <c r="C11342" s="2">
        <f>HYPERLINK("https://sao.dolgi.msk.ru/account/1404286396/", 1404286396)</f>
        <v>1404286396</v>
      </c>
      <c r="D11342">
        <v>-268.25</v>
      </c>
    </row>
    <row r="11343" spans="1:4" hidden="1" x14ac:dyDescent="0.25">
      <c r="A11343" t="s">
        <v>704</v>
      </c>
      <c r="B11343" t="s">
        <v>290</v>
      </c>
      <c r="C11343" s="2">
        <f>HYPERLINK("https://sao.dolgi.msk.ru/account/1404286572/", 1404286572)</f>
        <v>1404286572</v>
      </c>
      <c r="D11343">
        <v>-5699.28</v>
      </c>
    </row>
    <row r="11344" spans="1:4" hidden="1" x14ac:dyDescent="0.25">
      <c r="A11344" t="s">
        <v>704</v>
      </c>
      <c r="B11344" t="s">
        <v>291</v>
      </c>
      <c r="C11344" s="2">
        <f>HYPERLINK("https://sao.dolgi.msk.ru/account/1404286783/", 1404286783)</f>
        <v>1404286783</v>
      </c>
      <c r="D11344">
        <v>-8051.04</v>
      </c>
    </row>
    <row r="11345" spans="1:4" hidden="1" x14ac:dyDescent="0.25">
      <c r="A11345" t="s">
        <v>704</v>
      </c>
      <c r="B11345" t="s">
        <v>292</v>
      </c>
      <c r="C11345" s="2">
        <f>HYPERLINK("https://sao.dolgi.msk.ru/account/1404288674/", 1404288674)</f>
        <v>1404288674</v>
      </c>
      <c r="D11345">
        <v>-79.83</v>
      </c>
    </row>
    <row r="11346" spans="1:4" hidden="1" x14ac:dyDescent="0.25">
      <c r="A11346" t="s">
        <v>704</v>
      </c>
      <c r="B11346" t="s">
        <v>293</v>
      </c>
      <c r="C11346" s="2">
        <f>HYPERLINK("https://sao.dolgi.msk.ru/account/1404292593/", 1404292593)</f>
        <v>1404292593</v>
      </c>
      <c r="D11346">
        <v>-4773.87</v>
      </c>
    </row>
    <row r="11347" spans="1:4" hidden="1" x14ac:dyDescent="0.25">
      <c r="A11347" t="s">
        <v>704</v>
      </c>
      <c r="B11347" t="s">
        <v>294</v>
      </c>
      <c r="C11347" s="2">
        <f>HYPERLINK("https://sao.dolgi.msk.ru/account/1404293617/", 1404293617)</f>
        <v>1404293617</v>
      </c>
      <c r="D11347">
        <v>-57.19</v>
      </c>
    </row>
    <row r="11348" spans="1:4" hidden="1" x14ac:dyDescent="0.25">
      <c r="A11348" t="s">
        <v>704</v>
      </c>
      <c r="B11348" t="s">
        <v>295</v>
      </c>
      <c r="C11348" s="2">
        <f>HYPERLINK("https://sao.dolgi.msk.ru/account/1404287524/", 1404287524)</f>
        <v>1404287524</v>
      </c>
      <c r="D11348">
        <v>0</v>
      </c>
    </row>
    <row r="11349" spans="1:4" hidden="1" x14ac:dyDescent="0.25">
      <c r="A11349" t="s">
        <v>704</v>
      </c>
      <c r="B11349" t="s">
        <v>295</v>
      </c>
      <c r="C11349" s="2">
        <f>HYPERLINK("https://sao.dolgi.msk.ru/account/1404289458/", 1404289458)</f>
        <v>1404289458</v>
      </c>
      <c r="D11349">
        <v>-1366</v>
      </c>
    </row>
    <row r="11350" spans="1:4" hidden="1" x14ac:dyDescent="0.25">
      <c r="A11350" t="s">
        <v>704</v>
      </c>
      <c r="B11350" t="s">
        <v>296</v>
      </c>
      <c r="C11350" s="2">
        <f>HYPERLINK("https://sao.dolgi.msk.ru/account/1404286951/", 1404286951)</f>
        <v>1404286951</v>
      </c>
      <c r="D11350">
        <v>-3037.28</v>
      </c>
    </row>
    <row r="11351" spans="1:4" hidden="1" x14ac:dyDescent="0.25">
      <c r="A11351" t="s">
        <v>704</v>
      </c>
      <c r="B11351" t="s">
        <v>297</v>
      </c>
      <c r="C11351" s="2">
        <f>HYPERLINK("https://sao.dolgi.msk.ru/account/1404287356/", 1404287356)</f>
        <v>1404287356</v>
      </c>
      <c r="D11351">
        <v>-14742.18</v>
      </c>
    </row>
    <row r="11352" spans="1:4" x14ac:dyDescent="0.25">
      <c r="A11352" t="s">
        <v>704</v>
      </c>
      <c r="B11352" t="s">
        <v>298</v>
      </c>
      <c r="C11352" s="2">
        <f>HYPERLINK("https://sao.dolgi.msk.ru/account/1404293211/", 1404293211)</f>
        <v>1404293211</v>
      </c>
      <c r="D11352">
        <v>11809.95</v>
      </c>
    </row>
    <row r="11353" spans="1:4" hidden="1" x14ac:dyDescent="0.25">
      <c r="A11353" t="s">
        <v>704</v>
      </c>
      <c r="B11353" t="s">
        <v>299</v>
      </c>
      <c r="C11353" s="2">
        <f>HYPERLINK("https://sao.dolgi.msk.ru/account/1404291224/", 1404291224)</f>
        <v>1404291224</v>
      </c>
      <c r="D11353">
        <v>-4432.6000000000004</v>
      </c>
    </row>
    <row r="11354" spans="1:4" x14ac:dyDescent="0.25">
      <c r="A11354" t="s">
        <v>704</v>
      </c>
      <c r="B11354" t="s">
        <v>300</v>
      </c>
      <c r="C11354" s="2">
        <f>HYPERLINK("https://sao.dolgi.msk.ru/account/1404287161/", 1404287161)</f>
        <v>1404287161</v>
      </c>
      <c r="D11354">
        <v>8530.1299999999992</v>
      </c>
    </row>
    <row r="11355" spans="1:4" x14ac:dyDescent="0.25">
      <c r="A11355" t="s">
        <v>704</v>
      </c>
      <c r="B11355" t="s">
        <v>301</v>
      </c>
      <c r="C11355" s="2">
        <f>HYPERLINK("https://sao.dolgi.msk.ru/account/1404291646/", 1404291646)</f>
        <v>1404291646</v>
      </c>
      <c r="D11355">
        <v>20018.349999999999</v>
      </c>
    </row>
    <row r="11356" spans="1:4" x14ac:dyDescent="0.25">
      <c r="A11356" t="s">
        <v>704</v>
      </c>
      <c r="B11356" t="s">
        <v>302</v>
      </c>
      <c r="C11356" s="2">
        <f>HYPERLINK("https://sao.dolgi.msk.ru/account/1404293131/", 1404293131)</f>
        <v>1404293131</v>
      </c>
      <c r="D11356">
        <v>10622.5</v>
      </c>
    </row>
    <row r="11357" spans="1:4" hidden="1" x14ac:dyDescent="0.25">
      <c r="A11357" t="s">
        <v>704</v>
      </c>
      <c r="B11357" t="s">
        <v>303</v>
      </c>
      <c r="C11357" s="2">
        <f>HYPERLINK("https://sao.dolgi.msk.ru/account/1404292905/", 1404292905)</f>
        <v>1404292905</v>
      </c>
      <c r="D11357">
        <v>-4741.38</v>
      </c>
    </row>
    <row r="11358" spans="1:4" hidden="1" x14ac:dyDescent="0.25">
      <c r="A11358" t="s">
        <v>704</v>
      </c>
      <c r="B11358" t="s">
        <v>304</v>
      </c>
      <c r="C11358" s="2">
        <f>HYPERLINK("https://sao.dolgi.msk.ru/account/1404290774/", 1404290774)</f>
        <v>1404290774</v>
      </c>
      <c r="D11358">
        <v>-3390.85</v>
      </c>
    </row>
    <row r="11359" spans="1:4" hidden="1" x14ac:dyDescent="0.25">
      <c r="A11359" t="s">
        <v>704</v>
      </c>
      <c r="B11359" t="s">
        <v>305</v>
      </c>
      <c r="C11359" s="2">
        <f>HYPERLINK("https://sao.dolgi.msk.ru/account/1404290512/", 1404290512)</f>
        <v>1404290512</v>
      </c>
      <c r="D11359">
        <v>-109.67</v>
      </c>
    </row>
    <row r="11360" spans="1:4" x14ac:dyDescent="0.25">
      <c r="A11360" t="s">
        <v>704</v>
      </c>
      <c r="B11360" t="s">
        <v>306</v>
      </c>
      <c r="C11360" s="2">
        <f>HYPERLINK("https://sao.dolgi.msk.ru/account/1404291339/", 1404291339)</f>
        <v>1404291339</v>
      </c>
      <c r="D11360">
        <v>24452.560000000001</v>
      </c>
    </row>
    <row r="11361" spans="1:4" hidden="1" x14ac:dyDescent="0.25">
      <c r="A11361" t="s">
        <v>704</v>
      </c>
      <c r="B11361" t="s">
        <v>307</v>
      </c>
      <c r="C11361" s="2">
        <f>HYPERLINK("https://sao.dolgi.msk.ru/account/1404288834/", 1404288834)</f>
        <v>1404288834</v>
      </c>
      <c r="D11361">
        <v>-7862.62</v>
      </c>
    </row>
    <row r="11362" spans="1:4" x14ac:dyDescent="0.25">
      <c r="A11362" t="s">
        <v>704</v>
      </c>
      <c r="B11362" t="s">
        <v>308</v>
      </c>
      <c r="C11362" s="2">
        <f>HYPERLINK("https://sao.dolgi.msk.ru/account/1404287428/", 1404287428)</f>
        <v>1404287428</v>
      </c>
      <c r="D11362">
        <v>6331.38</v>
      </c>
    </row>
    <row r="11363" spans="1:4" hidden="1" x14ac:dyDescent="0.25">
      <c r="A11363" t="s">
        <v>704</v>
      </c>
      <c r="B11363" t="s">
        <v>308</v>
      </c>
      <c r="C11363" s="2">
        <f>HYPERLINK("https://sao.dolgi.msk.ru/account/1404290926/", 1404290926)</f>
        <v>1404290926</v>
      </c>
      <c r="D11363">
        <v>-1143.94</v>
      </c>
    </row>
    <row r="11364" spans="1:4" hidden="1" x14ac:dyDescent="0.25">
      <c r="A11364" t="s">
        <v>704</v>
      </c>
      <c r="B11364" t="s">
        <v>309</v>
      </c>
      <c r="C11364" s="2">
        <f>HYPERLINK("https://sao.dolgi.msk.ru/account/1404291152/", 1404291152)</f>
        <v>1404291152</v>
      </c>
      <c r="D11364">
        <v>-8054.47</v>
      </c>
    </row>
    <row r="11365" spans="1:4" hidden="1" x14ac:dyDescent="0.25">
      <c r="A11365" t="s">
        <v>704</v>
      </c>
      <c r="B11365" t="s">
        <v>310</v>
      </c>
      <c r="C11365" s="2">
        <f>HYPERLINK("https://sao.dolgi.msk.ru/account/1404289968/", 1404289968)</f>
        <v>1404289968</v>
      </c>
      <c r="D11365">
        <v>0</v>
      </c>
    </row>
    <row r="11366" spans="1:4" hidden="1" x14ac:dyDescent="0.25">
      <c r="A11366" t="s">
        <v>704</v>
      </c>
      <c r="B11366" t="s">
        <v>311</v>
      </c>
      <c r="C11366" s="2">
        <f>HYPERLINK("https://sao.dolgi.msk.ru/account/1404288324/", 1404288324)</f>
        <v>1404288324</v>
      </c>
      <c r="D11366">
        <v>-6113.12</v>
      </c>
    </row>
    <row r="11367" spans="1:4" hidden="1" x14ac:dyDescent="0.25">
      <c r="A11367" t="s">
        <v>704</v>
      </c>
      <c r="B11367" t="s">
        <v>312</v>
      </c>
      <c r="C11367" s="2">
        <f>HYPERLINK("https://sao.dolgi.msk.ru/account/1404289677/", 1404289677)</f>
        <v>1404289677</v>
      </c>
      <c r="D11367">
        <v>-5419.89</v>
      </c>
    </row>
    <row r="11368" spans="1:4" hidden="1" x14ac:dyDescent="0.25">
      <c r="A11368" t="s">
        <v>704</v>
      </c>
      <c r="B11368" t="s">
        <v>313</v>
      </c>
      <c r="C11368" s="2">
        <f>HYPERLINK("https://sao.dolgi.msk.ru/account/1404286345/", 1404286345)</f>
        <v>1404286345</v>
      </c>
      <c r="D11368">
        <v>0</v>
      </c>
    </row>
    <row r="11369" spans="1:4" hidden="1" x14ac:dyDescent="0.25">
      <c r="A11369" t="s">
        <v>704</v>
      </c>
      <c r="B11369" t="s">
        <v>314</v>
      </c>
      <c r="C11369" s="2">
        <f>HYPERLINK("https://sao.dolgi.msk.ru/account/1404289482/", 1404289482)</f>
        <v>1404289482</v>
      </c>
      <c r="D11369">
        <v>-6290.38</v>
      </c>
    </row>
    <row r="11370" spans="1:4" hidden="1" x14ac:dyDescent="0.25">
      <c r="A11370" t="s">
        <v>704</v>
      </c>
      <c r="B11370" t="s">
        <v>315</v>
      </c>
      <c r="C11370" s="2">
        <f>HYPERLINK("https://sao.dolgi.msk.ru/account/1404286468/", 1404286468)</f>
        <v>1404286468</v>
      </c>
      <c r="D11370">
        <v>0</v>
      </c>
    </row>
    <row r="11371" spans="1:4" hidden="1" x14ac:dyDescent="0.25">
      <c r="A11371" t="s">
        <v>704</v>
      </c>
      <c r="B11371" t="s">
        <v>316</v>
      </c>
      <c r="C11371" s="2">
        <f>HYPERLINK("https://sao.dolgi.msk.ru/account/1404293406/", 1404293406)</f>
        <v>1404293406</v>
      </c>
      <c r="D11371">
        <v>-4350.32</v>
      </c>
    </row>
    <row r="11372" spans="1:4" hidden="1" x14ac:dyDescent="0.25">
      <c r="A11372" t="s">
        <v>704</v>
      </c>
      <c r="B11372" t="s">
        <v>317</v>
      </c>
      <c r="C11372" s="2">
        <f>HYPERLINK("https://sao.dolgi.msk.ru/account/1404289298/", 1404289298)</f>
        <v>1404289298</v>
      </c>
      <c r="D11372">
        <v>-8523.69</v>
      </c>
    </row>
    <row r="11373" spans="1:4" x14ac:dyDescent="0.25">
      <c r="A11373" t="s">
        <v>704</v>
      </c>
      <c r="B11373" t="s">
        <v>318</v>
      </c>
      <c r="C11373" s="2">
        <f>HYPERLINK("https://sao.dolgi.msk.ru/account/1404291881/", 1404291881)</f>
        <v>1404291881</v>
      </c>
      <c r="D11373">
        <v>10945.87</v>
      </c>
    </row>
    <row r="11374" spans="1:4" hidden="1" x14ac:dyDescent="0.25">
      <c r="A11374" t="s">
        <v>704</v>
      </c>
      <c r="B11374" t="s">
        <v>319</v>
      </c>
      <c r="C11374" s="2">
        <f>HYPERLINK("https://sao.dolgi.msk.ru/account/1404290248/", 1404290248)</f>
        <v>1404290248</v>
      </c>
      <c r="D11374">
        <v>-6718.31</v>
      </c>
    </row>
    <row r="11375" spans="1:4" hidden="1" x14ac:dyDescent="0.25">
      <c r="A11375" t="s">
        <v>704</v>
      </c>
      <c r="B11375" t="s">
        <v>422</v>
      </c>
      <c r="C11375" s="2">
        <f>HYPERLINK("https://sao.dolgi.msk.ru/account/1404293043/", 1404293043)</f>
        <v>1404293043</v>
      </c>
      <c r="D11375">
        <v>-399.06</v>
      </c>
    </row>
    <row r="11376" spans="1:4" hidden="1" x14ac:dyDescent="0.25">
      <c r="A11376" t="s">
        <v>704</v>
      </c>
      <c r="B11376" t="s">
        <v>423</v>
      </c>
      <c r="C11376" s="2">
        <f>HYPERLINK("https://sao.dolgi.msk.ru/account/1404292606/", 1404292606)</f>
        <v>1404292606</v>
      </c>
      <c r="D11376">
        <v>-8511.99</v>
      </c>
    </row>
    <row r="11377" spans="1:4" hidden="1" x14ac:dyDescent="0.25">
      <c r="A11377" t="s">
        <v>704</v>
      </c>
      <c r="B11377" t="s">
        <v>424</v>
      </c>
      <c r="C11377" s="2">
        <f>HYPERLINK("https://sao.dolgi.msk.ru/account/1404290889/", 1404290889)</f>
        <v>1404290889</v>
      </c>
      <c r="D11377">
        <v>-5632.13</v>
      </c>
    </row>
    <row r="11378" spans="1:4" hidden="1" x14ac:dyDescent="0.25">
      <c r="A11378" t="s">
        <v>704</v>
      </c>
      <c r="B11378" t="s">
        <v>425</v>
      </c>
      <c r="C11378" s="2">
        <f>HYPERLINK("https://sao.dolgi.msk.ru/account/1404288025/", 1404288025)</f>
        <v>1404288025</v>
      </c>
      <c r="D11378">
        <v>-7497.4</v>
      </c>
    </row>
    <row r="11379" spans="1:4" hidden="1" x14ac:dyDescent="0.25">
      <c r="A11379" t="s">
        <v>704</v>
      </c>
      <c r="B11379" t="s">
        <v>426</v>
      </c>
      <c r="C11379" s="2">
        <f>HYPERLINK("https://sao.dolgi.msk.ru/account/1404290897/", 1404290897)</f>
        <v>1404290897</v>
      </c>
      <c r="D11379">
        <v>0</v>
      </c>
    </row>
    <row r="11380" spans="1:4" hidden="1" x14ac:dyDescent="0.25">
      <c r="A11380" t="s">
        <v>704</v>
      </c>
      <c r="B11380" t="s">
        <v>427</v>
      </c>
      <c r="C11380" s="2">
        <f>HYPERLINK("https://sao.dolgi.msk.ru/account/1404290918/", 1404290918)</f>
        <v>1404290918</v>
      </c>
      <c r="D11380">
        <v>-8471.86</v>
      </c>
    </row>
    <row r="11381" spans="1:4" hidden="1" x14ac:dyDescent="0.25">
      <c r="A11381" t="s">
        <v>704</v>
      </c>
      <c r="B11381" t="s">
        <v>428</v>
      </c>
      <c r="C11381" s="2">
        <f>HYPERLINK("https://sao.dolgi.msk.ru/account/1404293561/", 1404293561)</f>
        <v>1404293561</v>
      </c>
      <c r="D11381">
        <v>-8833.6</v>
      </c>
    </row>
    <row r="11382" spans="1:4" hidden="1" x14ac:dyDescent="0.25">
      <c r="A11382" t="s">
        <v>704</v>
      </c>
      <c r="B11382" t="s">
        <v>321</v>
      </c>
      <c r="C11382" s="2">
        <f>HYPERLINK("https://sao.dolgi.msk.ru/account/1404292753/", 1404292753)</f>
        <v>1404292753</v>
      </c>
      <c r="D11382">
        <v>0</v>
      </c>
    </row>
    <row r="11383" spans="1:4" hidden="1" x14ac:dyDescent="0.25">
      <c r="A11383" t="s">
        <v>704</v>
      </c>
      <c r="B11383" t="s">
        <v>322</v>
      </c>
      <c r="C11383" s="2">
        <f>HYPERLINK("https://sao.dolgi.msk.ru/account/1404291267/", 1404291267)</f>
        <v>1404291267</v>
      </c>
      <c r="D11383">
        <v>0</v>
      </c>
    </row>
    <row r="11384" spans="1:4" hidden="1" x14ac:dyDescent="0.25">
      <c r="A11384" t="s">
        <v>704</v>
      </c>
      <c r="B11384" t="s">
        <v>323</v>
      </c>
      <c r="C11384" s="2">
        <f>HYPERLINK("https://sao.dolgi.msk.ru/account/1404287508/", 1404287508)</f>
        <v>1404287508</v>
      </c>
      <c r="D11384">
        <v>0</v>
      </c>
    </row>
    <row r="11385" spans="1:4" hidden="1" x14ac:dyDescent="0.25">
      <c r="A11385" t="s">
        <v>704</v>
      </c>
      <c r="B11385" t="s">
        <v>324</v>
      </c>
      <c r="C11385" s="2">
        <f>HYPERLINK("https://sao.dolgi.msk.ru/account/1404293457/", 1404293457)</f>
        <v>1404293457</v>
      </c>
      <c r="D11385">
        <v>-4108.8599999999997</v>
      </c>
    </row>
    <row r="11386" spans="1:4" hidden="1" x14ac:dyDescent="0.25">
      <c r="A11386" t="s">
        <v>704</v>
      </c>
      <c r="B11386" t="s">
        <v>325</v>
      </c>
      <c r="C11386" s="2">
        <f>HYPERLINK("https://sao.dolgi.msk.ru/account/1404287073/", 1404287073)</f>
        <v>1404287073</v>
      </c>
      <c r="D11386">
        <v>-4221.33</v>
      </c>
    </row>
    <row r="11387" spans="1:4" hidden="1" x14ac:dyDescent="0.25">
      <c r="A11387" t="s">
        <v>704</v>
      </c>
      <c r="B11387" t="s">
        <v>326</v>
      </c>
      <c r="C11387" s="2">
        <f>HYPERLINK("https://sao.dolgi.msk.ru/account/1404289191/", 1404289191)</f>
        <v>1404289191</v>
      </c>
      <c r="D11387">
        <v>-1086</v>
      </c>
    </row>
    <row r="11388" spans="1:4" x14ac:dyDescent="0.25">
      <c r="A11388" t="s">
        <v>704</v>
      </c>
      <c r="B11388" t="s">
        <v>327</v>
      </c>
      <c r="C11388" s="2">
        <f>HYPERLINK("https://sao.dolgi.msk.ru/account/1404290942/", 1404290942)</f>
        <v>1404290942</v>
      </c>
      <c r="D11388">
        <v>8556.2900000000009</v>
      </c>
    </row>
    <row r="11389" spans="1:4" hidden="1" x14ac:dyDescent="0.25">
      <c r="A11389" t="s">
        <v>704</v>
      </c>
      <c r="B11389" t="s">
        <v>328</v>
      </c>
      <c r="C11389" s="2">
        <f>HYPERLINK("https://sao.dolgi.msk.ru/account/1404293676/", 1404293676)</f>
        <v>1404293676</v>
      </c>
      <c r="D11389">
        <v>0</v>
      </c>
    </row>
    <row r="11390" spans="1:4" hidden="1" x14ac:dyDescent="0.25">
      <c r="A11390" t="s">
        <v>704</v>
      </c>
      <c r="B11390" t="s">
        <v>329</v>
      </c>
      <c r="C11390" s="2">
        <f>HYPERLINK("https://sao.dolgi.msk.ru/account/1404292489/", 1404292489)</f>
        <v>1404292489</v>
      </c>
      <c r="D11390">
        <v>-13819.3</v>
      </c>
    </row>
    <row r="11391" spans="1:4" hidden="1" x14ac:dyDescent="0.25">
      <c r="A11391" t="s">
        <v>704</v>
      </c>
      <c r="B11391" t="s">
        <v>330</v>
      </c>
      <c r="C11391" s="2">
        <f>HYPERLINK("https://sao.dolgi.msk.ru/account/1404292059/", 1404292059)</f>
        <v>1404292059</v>
      </c>
      <c r="D11391">
        <v>-5626.8</v>
      </c>
    </row>
    <row r="11392" spans="1:4" hidden="1" x14ac:dyDescent="0.25">
      <c r="A11392" t="s">
        <v>704</v>
      </c>
      <c r="B11392" t="s">
        <v>331</v>
      </c>
      <c r="C11392" s="2">
        <f>HYPERLINK("https://sao.dolgi.msk.ru/account/1404287292/", 1404287292)</f>
        <v>1404287292</v>
      </c>
      <c r="D11392">
        <v>-8966.2999999999993</v>
      </c>
    </row>
    <row r="11393" spans="1:4" x14ac:dyDescent="0.25">
      <c r="A11393" t="s">
        <v>704</v>
      </c>
      <c r="B11393" t="s">
        <v>332</v>
      </c>
      <c r="C11393" s="2">
        <f>HYPERLINK("https://sao.dolgi.msk.ru/account/1404293692/", 1404293692)</f>
        <v>1404293692</v>
      </c>
      <c r="D11393">
        <v>8859.67</v>
      </c>
    </row>
    <row r="11394" spans="1:4" hidden="1" x14ac:dyDescent="0.25">
      <c r="A11394" t="s">
        <v>704</v>
      </c>
      <c r="B11394" t="s">
        <v>333</v>
      </c>
      <c r="C11394" s="2">
        <f>HYPERLINK("https://sao.dolgi.msk.ru/account/1404291953/", 1404291953)</f>
        <v>1404291953</v>
      </c>
      <c r="D11394">
        <v>-7123.37</v>
      </c>
    </row>
    <row r="11395" spans="1:4" hidden="1" x14ac:dyDescent="0.25">
      <c r="A11395" t="s">
        <v>704</v>
      </c>
      <c r="B11395" t="s">
        <v>334</v>
      </c>
      <c r="C11395" s="2">
        <f>HYPERLINK("https://sao.dolgi.msk.ru/account/1404291486/", 1404291486)</f>
        <v>1404291486</v>
      </c>
      <c r="D11395">
        <v>0</v>
      </c>
    </row>
    <row r="11396" spans="1:4" hidden="1" x14ac:dyDescent="0.25">
      <c r="A11396" t="s">
        <v>704</v>
      </c>
      <c r="B11396" t="s">
        <v>335</v>
      </c>
      <c r="C11396" s="2">
        <f>HYPERLINK("https://sao.dolgi.msk.ru/account/1404289714/", 1404289714)</f>
        <v>1404289714</v>
      </c>
      <c r="D11396">
        <v>0</v>
      </c>
    </row>
    <row r="11397" spans="1:4" hidden="1" x14ac:dyDescent="0.25">
      <c r="A11397" t="s">
        <v>704</v>
      </c>
      <c r="B11397" t="s">
        <v>336</v>
      </c>
      <c r="C11397" s="2">
        <f>HYPERLINK("https://sao.dolgi.msk.ru/account/1404286636/", 1404286636)</f>
        <v>1404286636</v>
      </c>
      <c r="D11397">
        <v>-31.77</v>
      </c>
    </row>
    <row r="11398" spans="1:4" hidden="1" x14ac:dyDescent="0.25">
      <c r="A11398" t="s">
        <v>704</v>
      </c>
      <c r="B11398" t="s">
        <v>337</v>
      </c>
      <c r="C11398" s="2">
        <f>HYPERLINK("https://sao.dolgi.msk.ru/account/1404289562/", 1404289562)</f>
        <v>1404289562</v>
      </c>
      <c r="D11398">
        <v>-5532.47</v>
      </c>
    </row>
    <row r="11399" spans="1:4" x14ac:dyDescent="0.25">
      <c r="A11399" t="s">
        <v>704</v>
      </c>
      <c r="B11399" t="s">
        <v>338</v>
      </c>
      <c r="C11399" s="2">
        <f>HYPERLINK("https://sao.dolgi.msk.ru/account/1404290571/", 1404290571)</f>
        <v>1404290571</v>
      </c>
      <c r="D11399">
        <v>7511.81</v>
      </c>
    </row>
    <row r="11400" spans="1:4" hidden="1" x14ac:dyDescent="0.25">
      <c r="A11400" t="s">
        <v>704</v>
      </c>
      <c r="B11400" t="s">
        <v>339</v>
      </c>
      <c r="C11400" s="2">
        <f>HYPERLINK("https://sao.dolgi.msk.ru/account/1404289538/", 1404289538)</f>
        <v>1404289538</v>
      </c>
      <c r="D11400">
        <v>-2909.98</v>
      </c>
    </row>
    <row r="11401" spans="1:4" hidden="1" x14ac:dyDescent="0.25">
      <c r="A11401" t="s">
        <v>704</v>
      </c>
      <c r="B11401" t="s">
        <v>340</v>
      </c>
      <c r="C11401" s="2">
        <f>HYPERLINK("https://sao.dolgi.msk.ru/account/1404286062/", 1404286062)</f>
        <v>1404286062</v>
      </c>
      <c r="D11401">
        <v>-38.659999999999997</v>
      </c>
    </row>
    <row r="11402" spans="1:4" hidden="1" x14ac:dyDescent="0.25">
      <c r="A11402" t="s">
        <v>704</v>
      </c>
      <c r="B11402" t="s">
        <v>341</v>
      </c>
      <c r="C11402" s="2">
        <f>HYPERLINK("https://sao.dolgi.msk.ru/account/1404286898/", 1404286898)</f>
        <v>1404286898</v>
      </c>
      <c r="D11402">
        <v>0</v>
      </c>
    </row>
    <row r="11403" spans="1:4" hidden="1" x14ac:dyDescent="0.25">
      <c r="A11403" t="s">
        <v>704</v>
      </c>
      <c r="B11403" t="s">
        <v>342</v>
      </c>
      <c r="C11403" s="2">
        <f>HYPERLINK("https://sao.dolgi.msk.ru/account/1404286716/", 1404286716)</f>
        <v>1404286716</v>
      </c>
      <c r="D11403">
        <v>-2712.06</v>
      </c>
    </row>
    <row r="11404" spans="1:4" hidden="1" x14ac:dyDescent="0.25">
      <c r="A11404" t="s">
        <v>704</v>
      </c>
      <c r="B11404" t="s">
        <v>342</v>
      </c>
      <c r="C11404" s="2">
        <f>HYPERLINK("https://sao.dolgi.msk.ru/account/1404289052/", 1404289052)</f>
        <v>1404289052</v>
      </c>
      <c r="D11404">
        <v>-2901.47</v>
      </c>
    </row>
    <row r="11405" spans="1:4" hidden="1" x14ac:dyDescent="0.25">
      <c r="A11405" t="s">
        <v>704</v>
      </c>
      <c r="B11405" t="s">
        <v>343</v>
      </c>
      <c r="C11405" s="2">
        <f>HYPERLINK("https://sao.dolgi.msk.ru/account/1404292956/", 1404292956)</f>
        <v>1404292956</v>
      </c>
      <c r="D11405">
        <v>-3352.83</v>
      </c>
    </row>
    <row r="11406" spans="1:4" hidden="1" x14ac:dyDescent="0.25">
      <c r="A11406" t="s">
        <v>704</v>
      </c>
      <c r="B11406" t="s">
        <v>344</v>
      </c>
      <c r="C11406" s="2">
        <f>HYPERLINK("https://sao.dolgi.msk.ru/account/1404287233/", 1404287233)</f>
        <v>1404287233</v>
      </c>
      <c r="D11406">
        <v>-5573.08</v>
      </c>
    </row>
    <row r="11407" spans="1:4" x14ac:dyDescent="0.25">
      <c r="A11407" t="s">
        <v>704</v>
      </c>
      <c r="B11407" t="s">
        <v>345</v>
      </c>
      <c r="C11407" s="2">
        <f>HYPERLINK("https://sao.dolgi.msk.ru/account/1404289183/", 1404289183)</f>
        <v>1404289183</v>
      </c>
      <c r="D11407">
        <v>22569.360000000001</v>
      </c>
    </row>
    <row r="11408" spans="1:4" hidden="1" x14ac:dyDescent="0.25">
      <c r="A11408" t="s">
        <v>704</v>
      </c>
      <c r="B11408" t="s">
        <v>346</v>
      </c>
      <c r="C11408" s="2">
        <f>HYPERLINK("https://sao.dolgi.msk.ru/account/1404289159/", 1404289159)</f>
        <v>1404289159</v>
      </c>
      <c r="D11408">
        <v>-110.57</v>
      </c>
    </row>
    <row r="11409" spans="1:4" hidden="1" x14ac:dyDescent="0.25">
      <c r="A11409" t="s">
        <v>704</v>
      </c>
      <c r="B11409" t="s">
        <v>347</v>
      </c>
      <c r="C11409" s="2">
        <f>HYPERLINK("https://sao.dolgi.msk.ru/account/1404292067/", 1404292067)</f>
        <v>1404292067</v>
      </c>
      <c r="D11409">
        <v>0</v>
      </c>
    </row>
    <row r="11410" spans="1:4" x14ac:dyDescent="0.25">
      <c r="A11410" t="s">
        <v>704</v>
      </c>
      <c r="B11410" t="s">
        <v>348</v>
      </c>
      <c r="C11410" s="2">
        <f>HYPERLINK("https://sao.dolgi.msk.ru/account/1404286863/", 1404286863)</f>
        <v>1404286863</v>
      </c>
      <c r="D11410">
        <v>22843.13</v>
      </c>
    </row>
    <row r="11411" spans="1:4" hidden="1" x14ac:dyDescent="0.25">
      <c r="A11411" t="s">
        <v>704</v>
      </c>
      <c r="B11411" t="s">
        <v>349</v>
      </c>
      <c r="C11411" s="2">
        <f>HYPERLINK("https://sao.dolgi.msk.ru/account/1404293537/", 1404293537)</f>
        <v>1404293537</v>
      </c>
      <c r="D11411">
        <v>-58.06</v>
      </c>
    </row>
    <row r="11412" spans="1:4" hidden="1" x14ac:dyDescent="0.25">
      <c r="A11412" t="s">
        <v>704</v>
      </c>
      <c r="B11412" t="s">
        <v>350</v>
      </c>
      <c r="C11412" s="2">
        <f>HYPERLINK("https://sao.dolgi.msk.ru/account/1404288113/", 1404288113)</f>
        <v>1404288113</v>
      </c>
      <c r="D11412">
        <v>0</v>
      </c>
    </row>
    <row r="11413" spans="1:4" hidden="1" x14ac:dyDescent="0.25">
      <c r="A11413" t="s">
        <v>704</v>
      </c>
      <c r="B11413" t="s">
        <v>351</v>
      </c>
      <c r="C11413" s="2">
        <f>HYPERLINK("https://sao.dolgi.msk.ru/account/1404291689/", 1404291689)</f>
        <v>1404291689</v>
      </c>
      <c r="D11413">
        <v>-6496.12</v>
      </c>
    </row>
    <row r="11414" spans="1:4" hidden="1" x14ac:dyDescent="0.25">
      <c r="A11414" t="s">
        <v>704</v>
      </c>
      <c r="B11414" t="s">
        <v>352</v>
      </c>
      <c r="C11414" s="2">
        <f>HYPERLINK("https://sao.dolgi.msk.ru/account/1404293123/", 1404293123)</f>
        <v>1404293123</v>
      </c>
      <c r="D11414">
        <v>-5165.29</v>
      </c>
    </row>
    <row r="11415" spans="1:4" x14ac:dyDescent="0.25">
      <c r="A11415" t="s">
        <v>704</v>
      </c>
      <c r="B11415" t="s">
        <v>353</v>
      </c>
      <c r="C11415" s="2">
        <f>HYPERLINK("https://sao.dolgi.msk.ru/account/1404287022/", 1404287022)</f>
        <v>1404287022</v>
      </c>
      <c r="D11415">
        <v>18823.099999999999</v>
      </c>
    </row>
    <row r="11416" spans="1:4" hidden="1" x14ac:dyDescent="0.25">
      <c r="A11416" t="s">
        <v>704</v>
      </c>
      <c r="B11416" t="s">
        <v>354</v>
      </c>
      <c r="C11416" s="2">
        <f>HYPERLINK("https://sao.dolgi.msk.ru/account/1404292219/", 1404292219)</f>
        <v>1404292219</v>
      </c>
      <c r="D11416">
        <v>-4725.78</v>
      </c>
    </row>
    <row r="11417" spans="1:4" hidden="1" x14ac:dyDescent="0.25">
      <c r="A11417" t="s">
        <v>704</v>
      </c>
      <c r="B11417" t="s">
        <v>355</v>
      </c>
      <c r="C11417" s="2">
        <f>HYPERLINK("https://sao.dolgi.msk.ru/account/1404292761/", 1404292761)</f>
        <v>1404292761</v>
      </c>
      <c r="D11417">
        <v>-35.28</v>
      </c>
    </row>
    <row r="11418" spans="1:4" hidden="1" x14ac:dyDescent="0.25">
      <c r="A11418" t="s">
        <v>704</v>
      </c>
      <c r="B11418" t="s">
        <v>356</v>
      </c>
      <c r="C11418" s="2">
        <f>HYPERLINK("https://sao.dolgi.msk.ru/account/1404288463/", 1404288463)</f>
        <v>1404288463</v>
      </c>
      <c r="D11418">
        <v>-3089.15</v>
      </c>
    </row>
    <row r="11419" spans="1:4" x14ac:dyDescent="0.25">
      <c r="A11419" t="s">
        <v>704</v>
      </c>
      <c r="B11419" t="s">
        <v>357</v>
      </c>
      <c r="C11419" s="2">
        <f>HYPERLINK("https://sao.dolgi.msk.ru/account/1404291216/", 1404291216)</f>
        <v>1404291216</v>
      </c>
      <c r="D11419">
        <v>10816.62</v>
      </c>
    </row>
    <row r="11420" spans="1:4" hidden="1" x14ac:dyDescent="0.25">
      <c r="A11420" t="s">
        <v>704</v>
      </c>
      <c r="B11420" t="s">
        <v>358</v>
      </c>
      <c r="C11420" s="2">
        <f>HYPERLINK("https://sao.dolgi.msk.ru/account/1404292825/", 1404292825)</f>
        <v>1404292825</v>
      </c>
      <c r="D11420">
        <v>-8052.92</v>
      </c>
    </row>
    <row r="11421" spans="1:4" hidden="1" x14ac:dyDescent="0.25">
      <c r="A11421" t="s">
        <v>704</v>
      </c>
      <c r="B11421" t="s">
        <v>359</v>
      </c>
      <c r="C11421" s="2">
        <f>HYPERLINK("https://sao.dolgi.msk.ru/account/1404289271/", 1404289271)</f>
        <v>1404289271</v>
      </c>
      <c r="D11421">
        <v>-4912.0200000000004</v>
      </c>
    </row>
    <row r="11422" spans="1:4" hidden="1" x14ac:dyDescent="0.25">
      <c r="A11422" t="s">
        <v>704</v>
      </c>
      <c r="B11422" t="s">
        <v>360</v>
      </c>
      <c r="C11422" s="2">
        <f>HYPERLINK("https://sao.dolgi.msk.ru/account/1404292112/", 1404292112)</f>
        <v>1404292112</v>
      </c>
      <c r="D11422">
        <v>0</v>
      </c>
    </row>
    <row r="11423" spans="1:4" hidden="1" x14ac:dyDescent="0.25">
      <c r="A11423" t="s">
        <v>704</v>
      </c>
      <c r="B11423" t="s">
        <v>361</v>
      </c>
      <c r="C11423" s="2">
        <f>HYPERLINK("https://sao.dolgi.msk.ru/account/1404287436/", 1404287436)</f>
        <v>1404287436</v>
      </c>
      <c r="D11423">
        <v>-5097.09</v>
      </c>
    </row>
    <row r="11424" spans="1:4" hidden="1" x14ac:dyDescent="0.25">
      <c r="A11424" t="s">
        <v>704</v>
      </c>
      <c r="B11424" t="s">
        <v>362</v>
      </c>
      <c r="C11424" s="2">
        <f>HYPERLINK("https://sao.dolgi.msk.ru/account/1404288041/", 1404288041)</f>
        <v>1404288041</v>
      </c>
      <c r="D11424">
        <v>0</v>
      </c>
    </row>
    <row r="11425" spans="1:4" hidden="1" x14ac:dyDescent="0.25">
      <c r="A11425" t="s">
        <v>704</v>
      </c>
      <c r="B11425" t="s">
        <v>363</v>
      </c>
      <c r="C11425" s="2">
        <f>HYPERLINK("https://sao.dolgi.msk.ru/account/1404293449/", 1404293449)</f>
        <v>1404293449</v>
      </c>
      <c r="D11425">
        <v>-4894.2</v>
      </c>
    </row>
    <row r="11426" spans="1:4" x14ac:dyDescent="0.25">
      <c r="A11426" t="s">
        <v>704</v>
      </c>
      <c r="B11426" t="s">
        <v>364</v>
      </c>
      <c r="C11426" s="2">
        <f>HYPERLINK("https://sao.dolgi.msk.ru/account/1404287743/", 1404287743)</f>
        <v>1404287743</v>
      </c>
      <c r="D11426">
        <v>9225.69</v>
      </c>
    </row>
    <row r="11427" spans="1:4" x14ac:dyDescent="0.25">
      <c r="A11427" t="s">
        <v>704</v>
      </c>
      <c r="B11427" t="s">
        <v>365</v>
      </c>
      <c r="C11427" s="2">
        <f>HYPERLINK("https://sao.dolgi.msk.ru/account/1404290651/", 1404290651)</f>
        <v>1404290651</v>
      </c>
      <c r="D11427">
        <v>11007.13</v>
      </c>
    </row>
    <row r="11428" spans="1:4" hidden="1" x14ac:dyDescent="0.25">
      <c r="A11428" t="s">
        <v>704</v>
      </c>
      <c r="B11428" t="s">
        <v>366</v>
      </c>
      <c r="C11428" s="2">
        <f>HYPERLINK("https://sao.dolgi.msk.ru/account/1404287698/", 1404287698)</f>
        <v>1404287698</v>
      </c>
      <c r="D11428">
        <v>0</v>
      </c>
    </row>
    <row r="11429" spans="1:4" hidden="1" x14ac:dyDescent="0.25">
      <c r="A11429" t="s">
        <v>704</v>
      </c>
      <c r="B11429" t="s">
        <v>367</v>
      </c>
      <c r="C11429" s="2">
        <f>HYPERLINK("https://sao.dolgi.msk.ru/account/1404292163/", 1404292163)</f>
        <v>1404292163</v>
      </c>
      <c r="D11429">
        <v>-4304.22</v>
      </c>
    </row>
    <row r="11430" spans="1:4" hidden="1" x14ac:dyDescent="0.25">
      <c r="A11430" t="s">
        <v>704</v>
      </c>
      <c r="B11430" t="s">
        <v>368</v>
      </c>
      <c r="C11430" s="2">
        <f>HYPERLINK("https://sao.dolgi.msk.ru/account/1404291515/", 1404291515)</f>
        <v>1404291515</v>
      </c>
      <c r="D11430">
        <v>-3556.75</v>
      </c>
    </row>
    <row r="11431" spans="1:4" hidden="1" x14ac:dyDescent="0.25">
      <c r="A11431" t="s">
        <v>704</v>
      </c>
      <c r="B11431" t="s">
        <v>369</v>
      </c>
      <c r="C11431" s="2">
        <f>HYPERLINK("https://sao.dolgi.msk.ru/account/1404292227/", 1404292227)</f>
        <v>1404292227</v>
      </c>
      <c r="D11431">
        <v>-3536.03</v>
      </c>
    </row>
    <row r="11432" spans="1:4" hidden="1" x14ac:dyDescent="0.25">
      <c r="A11432" t="s">
        <v>704</v>
      </c>
      <c r="B11432" t="s">
        <v>370</v>
      </c>
      <c r="C11432" s="2">
        <f>HYPERLINK("https://sao.dolgi.msk.ru/account/1404286097/", 1404286097)</f>
        <v>1404286097</v>
      </c>
      <c r="D11432">
        <v>-8994.17</v>
      </c>
    </row>
    <row r="11433" spans="1:4" hidden="1" x14ac:dyDescent="0.25">
      <c r="A11433" t="s">
        <v>704</v>
      </c>
      <c r="B11433" t="s">
        <v>371</v>
      </c>
      <c r="C11433" s="2">
        <f>HYPERLINK("https://sao.dolgi.msk.ru/account/1404288527/", 1404288527)</f>
        <v>1404288527</v>
      </c>
      <c r="D11433">
        <v>-4628.76</v>
      </c>
    </row>
    <row r="11434" spans="1:4" hidden="1" x14ac:dyDescent="0.25">
      <c r="A11434" t="s">
        <v>704</v>
      </c>
      <c r="B11434" t="s">
        <v>372</v>
      </c>
      <c r="C11434" s="2">
        <f>HYPERLINK("https://sao.dolgi.msk.ru/account/1404290088/", 1404290088)</f>
        <v>1404290088</v>
      </c>
      <c r="D11434">
        <v>-5274.95</v>
      </c>
    </row>
    <row r="11435" spans="1:4" hidden="1" x14ac:dyDescent="0.25">
      <c r="A11435" t="s">
        <v>704</v>
      </c>
      <c r="B11435" t="s">
        <v>373</v>
      </c>
      <c r="C11435" s="2">
        <f>HYPERLINK("https://sao.dolgi.msk.ru/account/1404286089/", 1404286089)</f>
        <v>1404286089</v>
      </c>
      <c r="D11435">
        <v>-5360.97</v>
      </c>
    </row>
    <row r="11436" spans="1:4" hidden="1" x14ac:dyDescent="0.25">
      <c r="A11436" t="s">
        <v>704</v>
      </c>
      <c r="B11436" t="s">
        <v>374</v>
      </c>
      <c r="C11436" s="2">
        <f>HYPERLINK("https://sao.dolgi.msk.ru/account/1404290694/", 1404290694)</f>
        <v>1404290694</v>
      </c>
      <c r="D11436">
        <v>-67.58</v>
      </c>
    </row>
    <row r="11437" spans="1:4" hidden="1" x14ac:dyDescent="0.25">
      <c r="A11437" t="s">
        <v>704</v>
      </c>
      <c r="B11437" t="s">
        <v>375</v>
      </c>
      <c r="C11437" s="2">
        <f>HYPERLINK("https://sao.dolgi.msk.ru/account/1404290184/", 1404290184)</f>
        <v>1404290184</v>
      </c>
      <c r="D11437">
        <v>-35.58</v>
      </c>
    </row>
    <row r="11438" spans="1:4" hidden="1" x14ac:dyDescent="0.25">
      <c r="A11438" t="s">
        <v>704</v>
      </c>
      <c r="B11438" t="s">
        <v>376</v>
      </c>
      <c r="C11438" s="2">
        <f>HYPERLINK("https://sao.dolgi.msk.ru/account/1404285991/", 1404285991)</f>
        <v>1404285991</v>
      </c>
      <c r="D11438">
        <v>-77.33</v>
      </c>
    </row>
    <row r="11439" spans="1:4" x14ac:dyDescent="0.25">
      <c r="A11439" t="s">
        <v>704</v>
      </c>
      <c r="B11439" t="s">
        <v>377</v>
      </c>
      <c r="C11439" s="2">
        <f>HYPERLINK("https://sao.dolgi.msk.ru/account/1404288287/", 1404288287)</f>
        <v>1404288287</v>
      </c>
      <c r="D11439">
        <v>46027.88</v>
      </c>
    </row>
    <row r="11440" spans="1:4" hidden="1" x14ac:dyDescent="0.25">
      <c r="A11440" t="s">
        <v>704</v>
      </c>
      <c r="B11440" t="s">
        <v>378</v>
      </c>
      <c r="C11440" s="2">
        <f>HYPERLINK("https://sao.dolgi.msk.ru/account/1404289749/", 1404289749)</f>
        <v>1404289749</v>
      </c>
      <c r="D11440">
        <v>-10579.3</v>
      </c>
    </row>
    <row r="11441" spans="1:4" hidden="1" x14ac:dyDescent="0.25">
      <c r="A11441" t="s">
        <v>704</v>
      </c>
      <c r="B11441" t="s">
        <v>379</v>
      </c>
      <c r="C11441" s="2">
        <f>HYPERLINK("https://sao.dolgi.msk.ru/account/1404288105/", 1404288105)</f>
        <v>1404288105</v>
      </c>
      <c r="D11441">
        <v>-4915.17</v>
      </c>
    </row>
    <row r="11442" spans="1:4" hidden="1" x14ac:dyDescent="0.25">
      <c r="A11442" t="s">
        <v>704</v>
      </c>
      <c r="B11442" t="s">
        <v>380</v>
      </c>
      <c r="C11442" s="2">
        <f>HYPERLINK("https://sao.dolgi.msk.ru/account/1404292286/", 1404292286)</f>
        <v>1404292286</v>
      </c>
      <c r="D11442">
        <v>-7062.96</v>
      </c>
    </row>
    <row r="11443" spans="1:4" hidden="1" x14ac:dyDescent="0.25">
      <c r="A11443" t="s">
        <v>704</v>
      </c>
      <c r="B11443" t="s">
        <v>381</v>
      </c>
      <c r="C11443" s="2">
        <f>HYPERLINK("https://sao.dolgi.msk.ru/account/1404293668/", 1404293668)</f>
        <v>1404293668</v>
      </c>
      <c r="D11443">
        <v>-7555.21</v>
      </c>
    </row>
    <row r="11444" spans="1:4" hidden="1" x14ac:dyDescent="0.25">
      <c r="A11444" t="s">
        <v>704</v>
      </c>
      <c r="B11444" t="s">
        <v>382</v>
      </c>
      <c r="C11444" s="2">
        <f>HYPERLINK("https://sao.dolgi.msk.ru/account/1404287313/", 1404287313)</f>
        <v>1404287313</v>
      </c>
      <c r="D11444">
        <v>-86.59</v>
      </c>
    </row>
    <row r="11445" spans="1:4" hidden="1" x14ac:dyDescent="0.25">
      <c r="A11445" t="s">
        <v>704</v>
      </c>
      <c r="B11445" t="s">
        <v>383</v>
      </c>
      <c r="C11445" s="2">
        <f>HYPERLINK("https://sao.dolgi.msk.ru/account/1404287487/", 1404287487)</f>
        <v>1404287487</v>
      </c>
      <c r="D11445">
        <v>-4805.5200000000004</v>
      </c>
    </row>
    <row r="11446" spans="1:4" hidden="1" x14ac:dyDescent="0.25">
      <c r="A11446" t="s">
        <v>704</v>
      </c>
      <c r="B11446" t="s">
        <v>384</v>
      </c>
      <c r="C11446" s="2">
        <f>HYPERLINK("https://sao.dolgi.msk.ru/account/1404286417/", 1404286417)</f>
        <v>1404286417</v>
      </c>
      <c r="D11446">
        <v>-3938.3</v>
      </c>
    </row>
    <row r="11447" spans="1:4" hidden="1" x14ac:dyDescent="0.25">
      <c r="A11447" t="s">
        <v>704</v>
      </c>
      <c r="B11447" t="s">
        <v>385</v>
      </c>
      <c r="C11447" s="2">
        <f>HYPERLINK("https://sao.dolgi.msk.ru/account/1404286492/", 1404286492)</f>
        <v>1404286492</v>
      </c>
      <c r="D11447">
        <v>-426.13</v>
      </c>
    </row>
    <row r="11448" spans="1:4" hidden="1" x14ac:dyDescent="0.25">
      <c r="A11448" t="s">
        <v>704</v>
      </c>
      <c r="B11448" t="s">
        <v>386</v>
      </c>
      <c r="C11448" s="2">
        <f>HYPERLINK("https://sao.dolgi.msk.ru/account/1404291478/", 1404291478)</f>
        <v>1404291478</v>
      </c>
      <c r="D11448">
        <v>-6532.32</v>
      </c>
    </row>
    <row r="11449" spans="1:4" hidden="1" x14ac:dyDescent="0.25">
      <c r="A11449" t="s">
        <v>704</v>
      </c>
      <c r="B11449" t="s">
        <v>387</v>
      </c>
      <c r="C11449" s="2">
        <f>HYPERLINK("https://sao.dolgi.msk.ru/account/1404291427/", 1404291427)</f>
        <v>1404291427</v>
      </c>
      <c r="D11449">
        <v>-6248.37</v>
      </c>
    </row>
    <row r="11450" spans="1:4" hidden="1" x14ac:dyDescent="0.25">
      <c r="A11450" t="s">
        <v>704</v>
      </c>
      <c r="B11450" t="s">
        <v>388</v>
      </c>
      <c r="C11450" s="2">
        <f>HYPERLINK("https://sao.dolgi.msk.ru/account/1404288906/", 1404288906)</f>
        <v>1404288906</v>
      </c>
      <c r="D11450">
        <v>-5941.5</v>
      </c>
    </row>
    <row r="11451" spans="1:4" hidden="1" x14ac:dyDescent="0.25">
      <c r="A11451" t="s">
        <v>704</v>
      </c>
      <c r="B11451" t="s">
        <v>389</v>
      </c>
      <c r="C11451" s="2">
        <f>HYPERLINK("https://sao.dolgi.msk.ru/account/1404291662/", 1404291662)</f>
        <v>1404291662</v>
      </c>
      <c r="D11451">
        <v>0</v>
      </c>
    </row>
    <row r="11452" spans="1:4" hidden="1" x14ac:dyDescent="0.25">
      <c r="A11452" t="s">
        <v>704</v>
      </c>
      <c r="B11452" t="s">
        <v>390</v>
      </c>
      <c r="C11452" s="2">
        <f>HYPERLINK("https://sao.dolgi.msk.ru/account/1404289319/", 1404289319)</f>
        <v>1404289319</v>
      </c>
      <c r="D11452">
        <v>-8427.9500000000007</v>
      </c>
    </row>
    <row r="11453" spans="1:4" hidden="1" x14ac:dyDescent="0.25">
      <c r="A11453" t="s">
        <v>704</v>
      </c>
      <c r="B11453" t="s">
        <v>391</v>
      </c>
      <c r="C11453" s="2">
        <f>HYPERLINK("https://sao.dolgi.msk.ru/account/1404287639/", 1404287639)</f>
        <v>1404287639</v>
      </c>
      <c r="D11453">
        <v>-3987.86</v>
      </c>
    </row>
    <row r="11454" spans="1:4" x14ac:dyDescent="0.25">
      <c r="A11454" t="s">
        <v>704</v>
      </c>
      <c r="B11454" t="s">
        <v>392</v>
      </c>
      <c r="C11454" s="2">
        <f>HYPERLINK("https://sao.dolgi.msk.ru/account/1404286193/", 1404286193)</f>
        <v>1404286193</v>
      </c>
      <c r="D11454">
        <v>11667.48</v>
      </c>
    </row>
    <row r="11455" spans="1:4" hidden="1" x14ac:dyDescent="0.25">
      <c r="A11455" t="s">
        <v>704</v>
      </c>
      <c r="B11455" t="s">
        <v>393</v>
      </c>
      <c r="C11455" s="2">
        <f>HYPERLINK("https://sao.dolgi.msk.ru/account/1404286222/", 1404286222)</f>
        <v>1404286222</v>
      </c>
      <c r="D11455">
        <v>0</v>
      </c>
    </row>
    <row r="11456" spans="1:4" hidden="1" x14ac:dyDescent="0.25">
      <c r="A11456" t="s">
        <v>704</v>
      </c>
      <c r="B11456" t="s">
        <v>394</v>
      </c>
      <c r="C11456" s="2">
        <f>HYPERLINK("https://sao.dolgi.msk.ru/account/1404287479/", 1404287479)</f>
        <v>1404287479</v>
      </c>
      <c r="D11456">
        <v>-8208.26</v>
      </c>
    </row>
    <row r="11457" spans="1:4" hidden="1" x14ac:dyDescent="0.25">
      <c r="A11457" t="s">
        <v>704</v>
      </c>
      <c r="B11457" t="s">
        <v>395</v>
      </c>
      <c r="C11457" s="2">
        <f>HYPERLINK("https://sao.dolgi.msk.ru/account/1404287583/", 1404287583)</f>
        <v>1404287583</v>
      </c>
      <c r="D11457">
        <v>-5863.83</v>
      </c>
    </row>
    <row r="11458" spans="1:4" x14ac:dyDescent="0.25">
      <c r="A11458" t="s">
        <v>704</v>
      </c>
      <c r="B11458" t="s">
        <v>396</v>
      </c>
      <c r="C11458" s="2">
        <f>HYPERLINK("https://sao.dolgi.msk.ru/account/1404288973/", 1404288973)</f>
        <v>1404288973</v>
      </c>
      <c r="D11458">
        <v>7636.54</v>
      </c>
    </row>
    <row r="11459" spans="1:4" hidden="1" x14ac:dyDescent="0.25">
      <c r="A11459" t="s">
        <v>704</v>
      </c>
      <c r="B11459" t="s">
        <v>397</v>
      </c>
      <c r="C11459" s="2">
        <f>HYPERLINK("https://sao.dolgi.msk.ru/account/1404287786/", 1404287786)</f>
        <v>1404287786</v>
      </c>
      <c r="D11459">
        <v>-4156.04</v>
      </c>
    </row>
    <row r="11460" spans="1:4" hidden="1" x14ac:dyDescent="0.25">
      <c r="A11460" t="s">
        <v>704</v>
      </c>
      <c r="B11460" t="s">
        <v>398</v>
      </c>
      <c r="C11460" s="2">
        <f>HYPERLINK("https://sao.dolgi.msk.ru/account/1404292614/", 1404292614)</f>
        <v>1404292614</v>
      </c>
      <c r="D11460">
        <v>-7320.85</v>
      </c>
    </row>
    <row r="11461" spans="1:4" hidden="1" x14ac:dyDescent="0.25">
      <c r="A11461" t="s">
        <v>704</v>
      </c>
      <c r="B11461" t="s">
        <v>399</v>
      </c>
      <c r="C11461" s="2">
        <f>HYPERLINK("https://sao.dolgi.msk.ru/account/1404289642/", 1404289642)</f>
        <v>1404289642</v>
      </c>
      <c r="D11461">
        <v>0</v>
      </c>
    </row>
    <row r="11462" spans="1:4" hidden="1" x14ac:dyDescent="0.25">
      <c r="A11462" t="s">
        <v>704</v>
      </c>
      <c r="B11462" t="s">
        <v>400</v>
      </c>
      <c r="C11462" s="2">
        <f>HYPERLINK("https://sao.dolgi.msk.ru/account/1404288447/", 1404288447)</f>
        <v>1404288447</v>
      </c>
      <c r="D11462">
        <v>0</v>
      </c>
    </row>
    <row r="11463" spans="1:4" hidden="1" x14ac:dyDescent="0.25">
      <c r="A11463" t="s">
        <v>704</v>
      </c>
      <c r="B11463" t="s">
        <v>401</v>
      </c>
      <c r="C11463" s="2">
        <f>HYPERLINK("https://sao.dolgi.msk.ru/account/1404286038/", 1404286038)</f>
        <v>1404286038</v>
      </c>
      <c r="D11463">
        <v>-6557.27</v>
      </c>
    </row>
    <row r="11464" spans="1:4" hidden="1" x14ac:dyDescent="0.25">
      <c r="A11464" t="s">
        <v>704</v>
      </c>
      <c r="B11464" t="s">
        <v>402</v>
      </c>
      <c r="C11464" s="2">
        <f>HYPERLINK("https://sao.dolgi.msk.ru/account/1404288172/", 1404288172)</f>
        <v>1404288172</v>
      </c>
      <c r="D11464">
        <v>-6633.29</v>
      </c>
    </row>
    <row r="11465" spans="1:4" hidden="1" x14ac:dyDescent="0.25">
      <c r="A11465" t="s">
        <v>704</v>
      </c>
      <c r="B11465" t="s">
        <v>403</v>
      </c>
      <c r="C11465" s="2">
        <f>HYPERLINK("https://sao.dolgi.msk.ru/account/1404289474/", 1404289474)</f>
        <v>1404289474</v>
      </c>
      <c r="D11465">
        <v>-5930.67</v>
      </c>
    </row>
    <row r="11466" spans="1:4" hidden="1" x14ac:dyDescent="0.25">
      <c r="A11466" t="s">
        <v>704</v>
      </c>
      <c r="B11466" t="s">
        <v>404</v>
      </c>
      <c r="C11466" s="2">
        <f>HYPERLINK("https://sao.dolgi.msk.ru/account/1404290352/", 1404290352)</f>
        <v>1404290352</v>
      </c>
      <c r="D11466">
        <v>-8578.8799999999992</v>
      </c>
    </row>
    <row r="11467" spans="1:4" hidden="1" x14ac:dyDescent="0.25">
      <c r="A11467" t="s">
        <v>704</v>
      </c>
      <c r="B11467" t="s">
        <v>405</v>
      </c>
      <c r="C11467" s="2">
        <f>HYPERLINK("https://sao.dolgi.msk.ru/account/1404291179/", 1404291179)</f>
        <v>1404291179</v>
      </c>
      <c r="D11467">
        <v>0</v>
      </c>
    </row>
    <row r="11468" spans="1:4" hidden="1" x14ac:dyDescent="0.25">
      <c r="A11468" t="s">
        <v>704</v>
      </c>
      <c r="B11468" t="s">
        <v>406</v>
      </c>
      <c r="C11468" s="2">
        <f>HYPERLINK("https://sao.dolgi.msk.ru/account/1404292841/", 1404292841)</f>
        <v>1404292841</v>
      </c>
      <c r="D11468">
        <v>-8172.95</v>
      </c>
    </row>
    <row r="11469" spans="1:4" hidden="1" x14ac:dyDescent="0.25">
      <c r="A11469" t="s">
        <v>704</v>
      </c>
      <c r="B11469" t="s">
        <v>407</v>
      </c>
      <c r="C11469" s="2">
        <f>HYPERLINK("https://sao.dolgi.msk.ru/account/1404290344/", 1404290344)</f>
        <v>1404290344</v>
      </c>
      <c r="D11469">
        <v>-60</v>
      </c>
    </row>
    <row r="11470" spans="1:4" hidden="1" x14ac:dyDescent="0.25">
      <c r="A11470" t="s">
        <v>704</v>
      </c>
      <c r="B11470" t="s">
        <v>408</v>
      </c>
      <c r="C11470" s="2">
        <f>HYPERLINK("https://sao.dolgi.msk.ru/account/1404288703/", 1404288703)</f>
        <v>1404288703</v>
      </c>
      <c r="D11470">
        <v>0</v>
      </c>
    </row>
    <row r="11471" spans="1:4" hidden="1" x14ac:dyDescent="0.25">
      <c r="A11471" t="s">
        <v>704</v>
      </c>
      <c r="B11471" t="s">
        <v>409</v>
      </c>
      <c r="C11471" s="2">
        <f>HYPERLINK("https://sao.dolgi.msk.ru/account/1404293115/", 1404293115)</f>
        <v>1404293115</v>
      </c>
      <c r="D11471">
        <v>-7810.77</v>
      </c>
    </row>
    <row r="11472" spans="1:4" hidden="1" x14ac:dyDescent="0.25">
      <c r="A11472" t="s">
        <v>704</v>
      </c>
      <c r="B11472" t="s">
        <v>410</v>
      </c>
      <c r="C11472" s="2">
        <f>HYPERLINK("https://sao.dolgi.msk.ru/account/1404290598/", 1404290598)</f>
        <v>1404290598</v>
      </c>
      <c r="D11472">
        <v>0</v>
      </c>
    </row>
    <row r="11473" spans="1:4" hidden="1" x14ac:dyDescent="0.25">
      <c r="A11473" t="s">
        <v>704</v>
      </c>
      <c r="B11473" t="s">
        <v>411</v>
      </c>
      <c r="C11473" s="2">
        <f>HYPERLINK("https://sao.dolgi.msk.ru/account/1404289546/", 1404289546)</f>
        <v>1404289546</v>
      </c>
      <c r="D11473">
        <v>-60.13</v>
      </c>
    </row>
    <row r="11474" spans="1:4" hidden="1" x14ac:dyDescent="0.25">
      <c r="A11474" t="s">
        <v>704</v>
      </c>
      <c r="B11474" t="s">
        <v>429</v>
      </c>
      <c r="C11474" s="2">
        <f>HYPERLINK("https://sao.dolgi.msk.ru/account/1404291929/", 1404291929)</f>
        <v>1404291929</v>
      </c>
      <c r="D11474">
        <v>-77.63</v>
      </c>
    </row>
    <row r="11475" spans="1:4" hidden="1" x14ac:dyDescent="0.25">
      <c r="A11475" t="s">
        <v>704</v>
      </c>
      <c r="B11475" t="s">
        <v>430</v>
      </c>
      <c r="C11475" s="2">
        <f>HYPERLINK("https://sao.dolgi.msk.ru/account/1404291603/", 1404291603)</f>
        <v>1404291603</v>
      </c>
      <c r="D11475">
        <v>-6215.49</v>
      </c>
    </row>
    <row r="11476" spans="1:4" x14ac:dyDescent="0.25">
      <c r="A11476" t="s">
        <v>704</v>
      </c>
      <c r="B11476" t="s">
        <v>431</v>
      </c>
      <c r="C11476" s="2">
        <f>HYPERLINK("https://sao.dolgi.msk.ru/account/1404291638/", 1404291638)</f>
        <v>1404291638</v>
      </c>
      <c r="D11476">
        <v>12366.58</v>
      </c>
    </row>
    <row r="11477" spans="1:4" x14ac:dyDescent="0.25">
      <c r="A11477" t="s">
        <v>704</v>
      </c>
      <c r="B11477" t="s">
        <v>432</v>
      </c>
      <c r="C11477" s="2">
        <f>HYPERLINK("https://sao.dolgi.msk.ru/account/1404288076/", 1404288076)</f>
        <v>1404288076</v>
      </c>
      <c r="D11477">
        <v>4063.69</v>
      </c>
    </row>
    <row r="11478" spans="1:4" hidden="1" x14ac:dyDescent="0.25">
      <c r="A11478" t="s">
        <v>704</v>
      </c>
      <c r="B11478" t="s">
        <v>433</v>
      </c>
      <c r="C11478" s="2">
        <f>HYPERLINK("https://sao.dolgi.msk.ru/account/1404287372/", 1404287372)</f>
        <v>1404287372</v>
      </c>
      <c r="D11478">
        <v>-9135.84</v>
      </c>
    </row>
    <row r="11479" spans="1:4" hidden="1" x14ac:dyDescent="0.25">
      <c r="A11479" t="s">
        <v>704</v>
      </c>
      <c r="B11479" t="s">
        <v>434</v>
      </c>
      <c r="C11479" s="2">
        <f>HYPERLINK("https://sao.dolgi.msk.ru/account/1404291435/", 1404291435)</f>
        <v>1404291435</v>
      </c>
      <c r="D11479">
        <v>-3671.34</v>
      </c>
    </row>
    <row r="11480" spans="1:4" hidden="1" x14ac:dyDescent="0.25">
      <c r="A11480" t="s">
        <v>704</v>
      </c>
      <c r="B11480" t="s">
        <v>435</v>
      </c>
      <c r="C11480" s="2">
        <f>HYPERLINK("https://sao.dolgi.msk.ru/account/1404286257/", 1404286257)</f>
        <v>1404286257</v>
      </c>
      <c r="D11480">
        <v>0</v>
      </c>
    </row>
    <row r="11481" spans="1:4" hidden="1" x14ac:dyDescent="0.25">
      <c r="A11481" t="s">
        <v>704</v>
      </c>
      <c r="B11481" t="s">
        <v>436</v>
      </c>
      <c r="C11481" s="2">
        <f>HYPERLINK("https://sao.dolgi.msk.ru/account/1404288797/", 1404288797)</f>
        <v>1404288797</v>
      </c>
      <c r="D11481">
        <v>-4252.75</v>
      </c>
    </row>
    <row r="11482" spans="1:4" hidden="1" x14ac:dyDescent="0.25">
      <c r="A11482" t="s">
        <v>704</v>
      </c>
      <c r="B11482" t="s">
        <v>437</v>
      </c>
      <c r="C11482" s="2">
        <f>HYPERLINK("https://sao.dolgi.msk.ru/account/1404292171/", 1404292171)</f>
        <v>1404292171</v>
      </c>
      <c r="D11482">
        <v>0</v>
      </c>
    </row>
    <row r="11483" spans="1:4" hidden="1" x14ac:dyDescent="0.25">
      <c r="A11483" t="s">
        <v>704</v>
      </c>
      <c r="B11483" t="s">
        <v>438</v>
      </c>
      <c r="C11483" s="2">
        <f>HYPERLINK("https://sao.dolgi.msk.ru/account/1404287647/", 1404287647)</f>
        <v>1404287647</v>
      </c>
      <c r="D11483">
        <v>-6890.52</v>
      </c>
    </row>
    <row r="11484" spans="1:4" x14ac:dyDescent="0.25">
      <c r="A11484" t="s">
        <v>704</v>
      </c>
      <c r="B11484" t="s">
        <v>439</v>
      </c>
      <c r="C11484" s="2">
        <f>HYPERLINK("https://sao.dolgi.msk.ru/account/1404292438/", 1404292438)</f>
        <v>1404292438</v>
      </c>
      <c r="D11484">
        <v>6594.87</v>
      </c>
    </row>
    <row r="11485" spans="1:4" hidden="1" x14ac:dyDescent="0.25">
      <c r="A11485" t="s">
        <v>704</v>
      </c>
      <c r="B11485" t="s">
        <v>440</v>
      </c>
      <c r="C11485" s="2">
        <f>HYPERLINK("https://sao.dolgi.msk.ru/account/1404288869/", 1404288869)</f>
        <v>1404288869</v>
      </c>
      <c r="D11485">
        <v>-60.72</v>
      </c>
    </row>
    <row r="11486" spans="1:4" hidden="1" x14ac:dyDescent="0.25">
      <c r="A11486" t="s">
        <v>704</v>
      </c>
      <c r="B11486" t="s">
        <v>441</v>
      </c>
      <c r="C11486" s="2">
        <f>HYPERLINK("https://sao.dolgi.msk.ru/account/1404286767/", 1404286767)</f>
        <v>1404286767</v>
      </c>
      <c r="D11486">
        <v>-77.930000000000007</v>
      </c>
    </row>
    <row r="11487" spans="1:4" hidden="1" x14ac:dyDescent="0.25">
      <c r="A11487" t="s">
        <v>704</v>
      </c>
      <c r="B11487" t="s">
        <v>442</v>
      </c>
      <c r="C11487" s="2">
        <f>HYPERLINK("https://sao.dolgi.msk.ru/account/1404292307/", 1404292307)</f>
        <v>1404292307</v>
      </c>
      <c r="D11487">
        <v>-81.89</v>
      </c>
    </row>
    <row r="11488" spans="1:4" hidden="1" x14ac:dyDescent="0.25">
      <c r="A11488" t="s">
        <v>704</v>
      </c>
      <c r="B11488" t="s">
        <v>443</v>
      </c>
      <c r="C11488" s="2">
        <f>HYPERLINK("https://sao.dolgi.msk.ru/account/1404286126/", 1404286126)</f>
        <v>1404286126</v>
      </c>
      <c r="D11488">
        <v>-9758.92</v>
      </c>
    </row>
    <row r="11489" spans="1:4" hidden="1" x14ac:dyDescent="0.25">
      <c r="A11489" t="s">
        <v>704</v>
      </c>
      <c r="B11489" t="s">
        <v>444</v>
      </c>
      <c r="C11489" s="2">
        <f>HYPERLINK("https://sao.dolgi.msk.ru/account/1404287081/", 1404287081)</f>
        <v>1404287081</v>
      </c>
      <c r="D11489">
        <v>-60.13</v>
      </c>
    </row>
    <row r="11490" spans="1:4" hidden="1" x14ac:dyDescent="0.25">
      <c r="A11490" t="s">
        <v>704</v>
      </c>
      <c r="B11490" t="s">
        <v>445</v>
      </c>
      <c r="C11490" s="2">
        <f>HYPERLINK("https://sao.dolgi.msk.ru/account/1404288404/", 1404288404)</f>
        <v>1404288404</v>
      </c>
      <c r="D11490">
        <v>-3423.31</v>
      </c>
    </row>
    <row r="11491" spans="1:4" hidden="1" x14ac:dyDescent="0.25">
      <c r="A11491" t="s">
        <v>704</v>
      </c>
      <c r="B11491" t="s">
        <v>446</v>
      </c>
      <c r="C11491" s="2">
        <f>HYPERLINK("https://sao.dolgi.msk.ru/account/1404286804/", 1404286804)</f>
        <v>1404286804</v>
      </c>
      <c r="D11491">
        <v>0</v>
      </c>
    </row>
    <row r="11492" spans="1:4" x14ac:dyDescent="0.25">
      <c r="A11492" t="s">
        <v>704</v>
      </c>
      <c r="B11492" t="s">
        <v>447</v>
      </c>
      <c r="C11492" s="2">
        <f>HYPERLINK("https://sao.dolgi.msk.ru/account/1404293166/", 1404293166)</f>
        <v>1404293166</v>
      </c>
      <c r="D11492">
        <v>24599.360000000001</v>
      </c>
    </row>
    <row r="11493" spans="1:4" hidden="1" x14ac:dyDescent="0.25">
      <c r="A11493" t="s">
        <v>704</v>
      </c>
      <c r="B11493" t="s">
        <v>448</v>
      </c>
      <c r="C11493" s="2">
        <f>HYPERLINK("https://sao.dolgi.msk.ru/account/1404288789/", 1404288789)</f>
        <v>1404288789</v>
      </c>
      <c r="D11493">
        <v>-6966.4</v>
      </c>
    </row>
    <row r="11494" spans="1:4" hidden="1" x14ac:dyDescent="0.25">
      <c r="A11494" t="s">
        <v>704</v>
      </c>
      <c r="B11494" t="s">
        <v>449</v>
      </c>
      <c r="C11494" s="2">
        <f>HYPERLINK("https://sao.dolgi.msk.ru/account/1404292649/", 1404292649)</f>
        <v>1404292649</v>
      </c>
      <c r="D11494">
        <v>-4968.54</v>
      </c>
    </row>
    <row r="11495" spans="1:4" hidden="1" x14ac:dyDescent="0.25">
      <c r="A11495" t="s">
        <v>704</v>
      </c>
      <c r="B11495" t="s">
        <v>450</v>
      </c>
      <c r="C11495" s="2">
        <f>HYPERLINK("https://sao.dolgi.msk.ru/account/1404290846/", 1404290846)</f>
        <v>1404290846</v>
      </c>
      <c r="D11495">
        <v>-5348.07</v>
      </c>
    </row>
    <row r="11496" spans="1:4" hidden="1" x14ac:dyDescent="0.25">
      <c r="A11496" t="s">
        <v>704</v>
      </c>
      <c r="B11496" t="s">
        <v>451</v>
      </c>
      <c r="C11496" s="2">
        <f>HYPERLINK("https://sao.dolgi.msk.ru/account/1404290213/", 1404290213)</f>
        <v>1404290213</v>
      </c>
      <c r="D11496">
        <v>-7562.74</v>
      </c>
    </row>
    <row r="11497" spans="1:4" x14ac:dyDescent="0.25">
      <c r="A11497" t="s">
        <v>704</v>
      </c>
      <c r="B11497" t="s">
        <v>452</v>
      </c>
      <c r="C11497" s="2">
        <f>HYPERLINK("https://sao.dolgi.msk.ru/account/1404287671/", 1404287671)</f>
        <v>1404287671</v>
      </c>
      <c r="D11497">
        <v>14557.88</v>
      </c>
    </row>
    <row r="11498" spans="1:4" hidden="1" x14ac:dyDescent="0.25">
      <c r="A11498" t="s">
        <v>704</v>
      </c>
      <c r="B11498" t="s">
        <v>453</v>
      </c>
      <c r="C11498" s="2">
        <f>HYPERLINK("https://sao.dolgi.msk.ru/account/1404287532/", 1404287532)</f>
        <v>1404287532</v>
      </c>
      <c r="D11498">
        <v>-5561.14</v>
      </c>
    </row>
    <row r="11499" spans="1:4" hidden="1" x14ac:dyDescent="0.25">
      <c r="A11499" t="s">
        <v>704</v>
      </c>
      <c r="B11499" t="s">
        <v>454</v>
      </c>
      <c r="C11499" s="2">
        <f>HYPERLINK("https://sao.dolgi.msk.ru/account/1404293625/", 1404293625)</f>
        <v>1404293625</v>
      </c>
      <c r="D11499">
        <v>0</v>
      </c>
    </row>
    <row r="11500" spans="1:4" hidden="1" x14ac:dyDescent="0.25">
      <c r="A11500" t="s">
        <v>704</v>
      </c>
      <c r="B11500" t="s">
        <v>455</v>
      </c>
      <c r="C11500" s="2">
        <f>HYPERLINK("https://sao.dolgi.msk.ru/account/1404287874/", 1404287874)</f>
        <v>1404287874</v>
      </c>
      <c r="D11500">
        <v>-3872.79</v>
      </c>
    </row>
    <row r="11501" spans="1:4" hidden="1" x14ac:dyDescent="0.25">
      <c r="A11501" t="s">
        <v>704</v>
      </c>
      <c r="B11501" t="s">
        <v>456</v>
      </c>
      <c r="C11501" s="2">
        <f>HYPERLINK("https://sao.dolgi.msk.ru/account/1404292454/", 1404292454)</f>
        <v>1404292454</v>
      </c>
      <c r="D11501">
        <v>0</v>
      </c>
    </row>
    <row r="11502" spans="1:4" hidden="1" x14ac:dyDescent="0.25">
      <c r="A11502" t="s">
        <v>704</v>
      </c>
      <c r="B11502" t="s">
        <v>457</v>
      </c>
      <c r="C11502" s="2">
        <f>HYPERLINK("https://sao.dolgi.msk.ru/account/1404288578/", 1404288578)</f>
        <v>1404288578</v>
      </c>
      <c r="D11502">
        <v>0</v>
      </c>
    </row>
    <row r="11503" spans="1:4" hidden="1" x14ac:dyDescent="0.25">
      <c r="A11503" t="s">
        <v>704</v>
      </c>
      <c r="B11503" t="s">
        <v>458</v>
      </c>
      <c r="C11503" s="2">
        <f>HYPERLINK("https://sao.dolgi.msk.ru/account/1404289087/", 1404289087)</f>
        <v>1404289087</v>
      </c>
      <c r="D11503">
        <v>-108.22</v>
      </c>
    </row>
    <row r="11504" spans="1:4" hidden="1" x14ac:dyDescent="0.25">
      <c r="A11504" t="s">
        <v>704</v>
      </c>
      <c r="B11504" t="s">
        <v>459</v>
      </c>
      <c r="C11504" s="2">
        <f>HYPERLINK("https://sao.dolgi.msk.ru/account/1404290117/", 1404290117)</f>
        <v>1404290117</v>
      </c>
      <c r="D11504">
        <v>-6993.16</v>
      </c>
    </row>
    <row r="11505" spans="1:4" hidden="1" x14ac:dyDescent="0.25">
      <c r="A11505" t="s">
        <v>704</v>
      </c>
      <c r="B11505" t="s">
        <v>460</v>
      </c>
      <c r="C11505" s="2">
        <f>HYPERLINK("https://sao.dolgi.msk.ru/account/1404287057/", 1404287057)</f>
        <v>1404287057</v>
      </c>
      <c r="D11505">
        <v>-1418.22</v>
      </c>
    </row>
    <row r="11506" spans="1:4" hidden="1" x14ac:dyDescent="0.25">
      <c r="A11506" t="s">
        <v>704</v>
      </c>
      <c r="B11506" t="s">
        <v>461</v>
      </c>
      <c r="C11506" s="2">
        <f>HYPERLINK("https://sao.dolgi.msk.ru/account/1404289378/", 1404289378)</f>
        <v>1404289378</v>
      </c>
      <c r="D11506">
        <v>-4722.16</v>
      </c>
    </row>
    <row r="11507" spans="1:4" hidden="1" x14ac:dyDescent="0.25">
      <c r="A11507" t="s">
        <v>704</v>
      </c>
      <c r="B11507" t="s">
        <v>462</v>
      </c>
      <c r="C11507" s="2">
        <f>HYPERLINK("https://sao.dolgi.msk.ru/account/1404287567/", 1404287567)</f>
        <v>1404287567</v>
      </c>
      <c r="D11507">
        <v>-8154.29</v>
      </c>
    </row>
    <row r="11508" spans="1:4" hidden="1" x14ac:dyDescent="0.25">
      <c r="A11508" t="s">
        <v>704</v>
      </c>
      <c r="B11508" t="s">
        <v>463</v>
      </c>
      <c r="C11508" s="2">
        <f>HYPERLINK("https://sao.dolgi.msk.ru/account/1404292016/", 1404292016)</f>
        <v>1404292016</v>
      </c>
      <c r="D11508">
        <v>-7223.2</v>
      </c>
    </row>
    <row r="11509" spans="1:4" x14ac:dyDescent="0.25">
      <c r="A11509" t="s">
        <v>704</v>
      </c>
      <c r="B11509" t="s">
        <v>464</v>
      </c>
      <c r="C11509" s="2">
        <f>HYPERLINK("https://sao.dolgi.msk.ru/account/1404287153/", 1404287153)</f>
        <v>1404287153</v>
      </c>
      <c r="D11509">
        <v>5400.85</v>
      </c>
    </row>
    <row r="11510" spans="1:4" hidden="1" x14ac:dyDescent="0.25">
      <c r="A11510" t="s">
        <v>704</v>
      </c>
      <c r="B11510" t="s">
        <v>465</v>
      </c>
      <c r="C11510" s="2">
        <f>HYPERLINK("https://sao.dolgi.msk.ru/account/1404286652/", 1404286652)</f>
        <v>1404286652</v>
      </c>
      <c r="D11510">
        <v>0</v>
      </c>
    </row>
    <row r="11511" spans="1:4" hidden="1" x14ac:dyDescent="0.25">
      <c r="A11511" t="s">
        <v>704</v>
      </c>
      <c r="B11511" t="s">
        <v>466</v>
      </c>
      <c r="C11511" s="2">
        <f>HYPERLINK("https://sao.dolgi.msk.ru/account/1404289132/", 1404289132)</f>
        <v>1404289132</v>
      </c>
      <c r="D11511">
        <v>-5822.83</v>
      </c>
    </row>
    <row r="11512" spans="1:4" x14ac:dyDescent="0.25">
      <c r="A11512" t="s">
        <v>704</v>
      </c>
      <c r="B11512" t="s">
        <v>467</v>
      </c>
      <c r="C11512" s="2">
        <f>HYPERLINK("https://sao.dolgi.msk.ru/account/1404288965/", 1404288965)</f>
        <v>1404288965</v>
      </c>
      <c r="D11512">
        <v>9721.2999999999993</v>
      </c>
    </row>
    <row r="11513" spans="1:4" hidden="1" x14ac:dyDescent="0.25">
      <c r="A11513" t="s">
        <v>704</v>
      </c>
      <c r="B11513" t="s">
        <v>468</v>
      </c>
      <c r="C11513" s="2">
        <f>HYPERLINK("https://sao.dolgi.msk.ru/account/1404287735/", 1404287735)</f>
        <v>1404287735</v>
      </c>
      <c r="D11513">
        <v>-3692.03</v>
      </c>
    </row>
    <row r="11514" spans="1:4" hidden="1" x14ac:dyDescent="0.25">
      <c r="A11514" t="s">
        <v>704</v>
      </c>
      <c r="B11514" t="s">
        <v>469</v>
      </c>
      <c r="C11514" s="2">
        <f>HYPERLINK("https://sao.dolgi.msk.ru/account/1404292681/", 1404292681)</f>
        <v>1404292681</v>
      </c>
      <c r="D11514">
        <v>-3633.65</v>
      </c>
    </row>
    <row r="11515" spans="1:4" hidden="1" x14ac:dyDescent="0.25">
      <c r="A11515" t="s">
        <v>704</v>
      </c>
      <c r="B11515" t="s">
        <v>470</v>
      </c>
      <c r="C11515" s="2">
        <f>HYPERLINK("https://sao.dolgi.msk.ru/account/1404288332/", 1404288332)</f>
        <v>1404288332</v>
      </c>
      <c r="D11515">
        <v>-9624.51</v>
      </c>
    </row>
    <row r="11516" spans="1:4" hidden="1" x14ac:dyDescent="0.25">
      <c r="A11516" t="s">
        <v>704</v>
      </c>
      <c r="B11516" t="s">
        <v>471</v>
      </c>
      <c r="C11516" s="2">
        <f>HYPERLINK("https://sao.dolgi.msk.ru/account/1404286986/", 1404286986)</f>
        <v>1404286986</v>
      </c>
      <c r="D11516">
        <v>-9286.06</v>
      </c>
    </row>
    <row r="11517" spans="1:4" hidden="1" x14ac:dyDescent="0.25">
      <c r="A11517" t="s">
        <v>704</v>
      </c>
      <c r="B11517" t="s">
        <v>472</v>
      </c>
      <c r="C11517" s="2">
        <f>HYPERLINK("https://sao.dolgi.msk.ru/account/1404290491/", 1404290491)</f>
        <v>1404290491</v>
      </c>
      <c r="D11517">
        <v>-76.31</v>
      </c>
    </row>
    <row r="11518" spans="1:4" hidden="1" x14ac:dyDescent="0.25">
      <c r="A11518" t="s">
        <v>704</v>
      </c>
      <c r="B11518" t="s">
        <v>473</v>
      </c>
      <c r="C11518" s="2">
        <f>HYPERLINK("https://sao.dolgi.msk.ru/account/1404287065/", 1404287065)</f>
        <v>1404287065</v>
      </c>
      <c r="D11518">
        <v>-2311.59</v>
      </c>
    </row>
    <row r="11519" spans="1:4" hidden="1" x14ac:dyDescent="0.25">
      <c r="A11519" t="s">
        <v>704</v>
      </c>
      <c r="B11519" t="s">
        <v>474</v>
      </c>
      <c r="C11519" s="2">
        <f>HYPERLINK("https://sao.dolgi.msk.ru/account/1404292702/", 1404292702)</f>
        <v>1404292702</v>
      </c>
      <c r="D11519">
        <v>-6120.37</v>
      </c>
    </row>
    <row r="11520" spans="1:4" hidden="1" x14ac:dyDescent="0.25">
      <c r="A11520" t="s">
        <v>704</v>
      </c>
      <c r="B11520" t="s">
        <v>475</v>
      </c>
      <c r="C11520" s="2">
        <f>HYPERLINK("https://sao.dolgi.msk.ru/account/1404287399/", 1404287399)</f>
        <v>1404287399</v>
      </c>
      <c r="D11520">
        <v>-6766.62</v>
      </c>
    </row>
    <row r="11521" spans="1:4" hidden="1" x14ac:dyDescent="0.25">
      <c r="A11521" t="s">
        <v>704</v>
      </c>
      <c r="B11521" t="s">
        <v>476</v>
      </c>
      <c r="C11521" s="2">
        <f>HYPERLINK("https://sao.dolgi.msk.ru/account/1404287938/", 1404287938)</f>
        <v>1404287938</v>
      </c>
      <c r="D11521">
        <v>-2781.78</v>
      </c>
    </row>
    <row r="11522" spans="1:4" hidden="1" x14ac:dyDescent="0.25">
      <c r="A11522" t="s">
        <v>704</v>
      </c>
      <c r="B11522" t="s">
        <v>477</v>
      </c>
      <c r="C11522" s="2">
        <f>HYPERLINK("https://sao.dolgi.msk.ru/account/1404286441/", 1404286441)</f>
        <v>1404286441</v>
      </c>
      <c r="D11522">
        <v>0</v>
      </c>
    </row>
    <row r="11523" spans="1:4" hidden="1" x14ac:dyDescent="0.25">
      <c r="A11523" t="s">
        <v>704</v>
      </c>
      <c r="B11523" t="s">
        <v>478</v>
      </c>
      <c r="C11523" s="2">
        <f>HYPERLINK("https://sao.dolgi.msk.ru/account/1404289044/", 1404289044)</f>
        <v>1404289044</v>
      </c>
      <c r="D11523">
        <v>-5973.74</v>
      </c>
    </row>
    <row r="11524" spans="1:4" hidden="1" x14ac:dyDescent="0.25">
      <c r="A11524" t="s">
        <v>704</v>
      </c>
      <c r="B11524" t="s">
        <v>479</v>
      </c>
      <c r="C11524" s="2">
        <f>HYPERLINK("https://sao.dolgi.msk.ru/account/1404286505/", 1404286505)</f>
        <v>1404286505</v>
      </c>
      <c r="D11524">
        <v>-5444.71</v>
      </c>
    </row>
    <row r="11525" spans="1:4" x14ac:dyDescent="0.25">
      <c r="A11525" t="s">
        <v>704</v>
      </c>
      <c r="B11525" t="s">
        <v>480</v>
      </c>
      <c r="C11525" s="2">
        <f>HYPERLINK("https://sao.dolgi.msk.ru/account/1404291355/", 1404291355)</f>
        <v>1404291355</v>
      </c>
      <c r="D11525">
        <v>7752.19</v>
      </c>
    </row>
    <row r="11526" spans="1:4" hidden="1" x14ac:dyDescent="0.25">
      <c r="A11526" t="s">
        <v>704</v>
      </c>
      <c r="B11526" t="s">
        <v>481</v>
      </c>
      <c r="C11526" s="2">
        <f>HYPERLINK("https://sao.dolgi.msk.ru/account/1404286564/", 1404286564)</f>
        <v>1404286564</v>
      </c>
      <c r="D11526">
        <v>-4209.17</v>
      </c>
    </row>
    <row r="11527" spans="1:4" hidden="1" x14ac:dyDescent="0.25">
      <c r="A11527" t="s">
        <v>704</v>
      </c>
      <c r="B11527" t="s">
        <v>482</v>
      </c>
      <c r="C11527" s="2">
        <f>HYPERLINK("https://sao.dolgi.msk.ru/account/1404289554/", 1404289554)</f>
        <v>1404289554</v>
      </c>
      <c r="D11527">
        <v>-7540.8</v>
      </c>
    </row>
    <row r="11528" spans="1:4" hidden="1" x14ac:dyDescent="0.25">
      <c r="A11528" t="s">
        <v>704</v>
      </c>
      <c r="B11528" t="s">
        <v>483</v>
      </c>
      <c r="C11528" s="2">
        <f>HYPERLINK("https://sao.dolgi.msk.ru/account/1404290715/", 1404290715)</f>
        <v>1404290715</v>
      </c>
      <c r="D11528">
        <v>-6268.23</v>
      </c>
    </row>
    <row r="11529" spans="1:4" hidden="1" x14ac:dyDescent="0.25">
      <c r="A11529" t="s">
        <v>704</v>
      </c>
      <c r="B11529" t="s">
        <v>484</v>
      </c>
      <c r="C11529" s="2">
        <f>HYPERLINK("https://sao.dolgi.msk.ru/account/1404287102/", 1404287102)</f>
        <v>1404287102</v>
      </c>
      <c r="D11529">
        <v>-52.78</v>
      </c>
    </row>
    <row r="11530" spans="1:4" x14ac:dyDescent="0.25">
      <c r="A11530" t="s">
        <v>704</v>
      </c>
      <c r="B11530" t="s">
        <v>485</v>
      </c>
      <c r="C11530" s="2">
        <f>HYPERLINK("https://sao.dolgi.msk.ru/account/1404288885/", 1404288885)</f>
        <v>1404288885</v>
      </c>
      <c r="D11530">
        <v>20172.66</v>
      </c>
    </row>
    <row r="11531" spans="1:4" hidden="1" x14ac:dyDescent="0.25">
      <c r="A11531" t="s">
        <v>704</v>
      </c>
      <c r="B11531" t="s">
        <v>486</v>
      </c>
      <c r="C11531" s="2">
        <f>HYPERLINK("https://sao.dolgi.msk.ru/account/1404287727/", 1404287727)</f>
        <v>1404287727</v>
      </c>
      <c r="D11531">
        <v>0</v>
      </c>
    </row>
    <row r="11532" spans="1:4" hidden="1" x14ac:dyDescent="0.25">
      <c r="A11532" t="s">
        <v>704</v>
      </c>
      <c r="B11532" t="s">
        <v>487</v>
      </c>
      <c r="C11532" s="2">
        <f>HYPERLINK("https://sao.dolgi.msk.ru/account/1404292833/", 1404292833)</f>
        <v>1404292833</v>
      </c>
      <c r="D11532">
        <v>-7524.06</v>
      </c>
    </row>
    <row r="11533" spans="1:4" hidden="1" x14ac:dyDescent="0.25">
      <c r="A11533" t="s">
        <v>704</v>
      </c>
      <c r="B11533" t="s">
        <v>488</v>
      </c>
      <c r="C11533" s="2">
        <f>HYPERLINK("https://sao.dolgi.msk.ru/account/1404288746/", 1404288746)</f>
        <v>1404288746</v>
      </c>
      <c r="D11533">
        <v>0</v>
      </c>
    </row>
    <row r="11534" spans="1:4" hidden="1" x14ac:dyDescent="0.25">
      <c r="A11534" t="s">
        <v>704</v>
      </c>
      <c r="B11534" t="s">
        <v>489</v>
      </c>
      <c r="C11534" s="2">
        <f>HYPERLINK("https://sao.dolgi.msk.ru/account/1404290432/", 1404290432)</f>
        <v>1404290432</v>
      </c>
      <c r="D11534">
        <v>-5167.18</v>
      </c>
    </row>
    <row r="11535" spans="1:4" x14ac:dyDescent="0.25">
      <c r="A11535" t="s">
        <v>704</v>
      </c>
      <c r="B11535" t="s">
        <v>490</v>
      </c>
      <c r="C11535" s="2">
        <f>HYPERLINK("https://sao.dolgi.msk.ru/account/1404288121/", 1404288121)</f>
        <v>1404288121</v>
      </c>
      <c r="D11535">
        <v>23260.87</v>
      </c>
    </row>
    <row r="11536" spans="1:4" x14ac:dyDescent="0.25">
      <c r="A11536" t="s">
        <v>704</v>
      </c>
      <c r="B11536" t="s">
        <v>491</v>
      </c>
      <c r="C11536" s="2">
        <f>HYPERLINK("https://sao.dolgi.msk.ru/account/1404290328/", 1404290328)</f>
        <v>1404290328</v>
      </c>
      <c r="D11536">
        <v>17106.68</v>
      </c>
    </row>
    <row r="11537" spans="1:4" hidden="1" x14ac:dyDescent="0.25">
      <c r="A11537" t="s">
        <v>704</v>
      </c>
      <c r="B11537" t="s">
        <v>492</v>
      </c>
      <c r="C11537" s="2">
        <f>HYPERLINK("https://sao.dolgi.msk.ru/account/1404286812/", 1404286812)</f>
        <v>1404286812</v>
      </c>
      <c r="D11537">
        <v>-76.87</v>
      </c>
    </row>
    <row r="11538" spans="1:4" hidden="1" x14ac:dyDescent="0.25">
      <c r="A11538" t="s">
        <v>704</v>
      </c>
      <c r="B11538" t="s">
        <v>493</v>
      </c>
      <c r="C11538" s="2">
        <f>HYPERLINK("https://sao.dolgi.msk.ru/account/1404288455/", 1404288455)</f>
        <v>1404288455</v>
      </c>
      <c r="D11538">
        <v>0</v>
      </c>
    </row>
    <row r="11539" spans="1:4" hidden="1" x14ac:dyDescent="0.25">
      <c r="A11539" t="s">
        <v>704</v>
      </c>
      <c r="B11539" t="s">
        <v>494</v>
      </c>
      <c r="C11539" s="2">
        <f>HYPERLINK("https://sao.dolgi.msk.ru/account/1404288498/", 1404288498)</f>
        <v>1404288498</v>
      </c>
      <c r="D11539">
        <v>0</v>
      </c>
    </row>
    <row r="11540" spans="1:4" hidden="1" x14ac:dyDescent="0.25">
      <c r="A11540" t="s">
        <v>704</v>
      </c>
      <c r="B11540" t="s">
        <v>494</v>
      </c>
      <c r="C11540" s="2">
        <f>HYPERLINK("https://sao.dolgi.msk.ru/account/1404289626/", 1404289626)</f>
        <v>1404289626</v>
      </c>
      <c r="D11540">
        <v>0</v>
      </c>
    </row>
    <row r="11541" spans="1:4" hidden="1" x14ac:dyDescent="0.25">
      <c r="A11541" t="s">
        <v>704</v>
      </c>
      <c r="B11541" t="s">
        <v>495</v>
      </c>
      <c r="C11541" s="2">
        <f>HYPERLINK("https://sao.dolgi.msk.ru/account/1404289001/", 1404289001)</f>
        <v>1404289001</v>
      </c>
      <c r="D11541">
        <v>-15276.37</v>
      </c>
    </row>
    <row r="11542" spans="1:4" x14ac:dyDescent="0.25">
      <c r="A11542" t="s">
        <v>704</v>
      </c>
      <c r="B11542" t="s">
        <v>496</v>
      </c>
      <c r="C11542" s="2">
        <f>HYPERLINK("https://sao.dolgi.msk.ru/account/1404286644/", 1404286644)</f>
        <v>1404286644</v>
      </c>
      <c r="D11542">
        <v>18707.560000000001</v>
      </c>
    </row>
    <row r="11543" spans="1:4" hidden="1" x14ac:dyDescent="0.25">
      <c r="A11543" t="s">
        <v>704</v>
      </c>
      <c r="B11543" t="s">
        <v>497</v>
      </c>
      <c r="C11543" s="2">
        <f>HYPERLINK("https://sao.dolgi.msk.ru/account/1404288682/", 1404288682)</f>
        <v>1404288682</v>
      </c>
      <c r="D11543">
        <v>-4869.3599999999997</v>
      </c>
    </row>
    <row r="11544" spans="1:4" x14ac:dyDescent="0.25">
      <c r="A11544" t="s">
        <v>704</v>
      </c>
      <c r="B11544" t="s">
        <v>498</v>
      </c>
      <c r="C11544" s="2">
        <f>HYPERLINK("https://sao.dolgi.msk.ru/account/1404291726/", 1404291726)</f>
        <v>1404291726</v>
      </c>
      <c r="D11544">
        <v>25708.75</v>
      </c>
    </row>
    <row r="11545" spans="1:4" hidden="1" x14ac:dyDescent="0.25">
      <c r="A11545" t="s">
        <v>704</v>
      </c>
      <c r="B11545" t="s">
        <v>499</v>
      </c>
      <c r="C11545" s="2">
        <f>HYPERLINK("https://sao.dolgi.msk.ru/account/1404292884/", 1404292884)</f>
        <v>1404292884</v>
      </c>
      <c r="D11545">
        <v>-6786.74</v>
      </c>
    </row>
    <row r="11546" spans="1:4" hidden="1" x14ac:dyDescent="0.25">
      <c r="A11546" t="s">
        <v>704</v>
      </c>
      <c r="B11546" t="s">
        <v>500</v>
      </c>
      <c r="C11546" s="2">
        <f>HYPERLINK("https://sao.dolgi.msk.ru/account/1404292331/", 1404292331)</f>
        <v>1404292331</v>
      </c>
      <c r="D11546">
        <v>0</v>
      </c>
    </row>
    <row r="11547" spans="1:4" hidden="1" x14ac:dyDescent="0.25">
      <c r="A11547" t="s">
        <v>704</v>
      </c>
      <c r="B11547" t="s">
        <v>501</v>
      </c>
      <c r="C11547" s="2">
        <f>HYPERLINK("https://sao.dolgi.msk.ru/account/1404290547/", 1404290547)</f>
        <v>1404290547</v>
      </c>
      <c r="D11547">
        <v>-4318.84</v>
      </c>
    </row>
    <row r="11548" spans="1:4" hidden="1" x14ac:dyDescent="0.25">
      <c r="A11548" t="s">
        <v>704</v>
      </c>
      <c r="B11548" t="s">
        <v>502</v>
      </c>
      <c r="C11548" s="2">
        <f>HYPERLINK("https://sao.dolgi.msk.ru/account/1404290782/", 1404290782)</f>
        <v>1404290782</v>
      </c>
      <c r="D11548">
        <v>-8570.2099999999991</v>
      </c>
    </row>
    <row r="11549" spans="1:4" hidden="1" x14ac:dyDescent="0.25">
      <c r="A11549" t="s">
        <v>704</v>
      </c>
      <c r="B11549" t="s">
        <v>503</v>
      </c>
      <c r="C11549" s="2">
        <f>HYPERLINK("https://sao.dolgi.msk.ru/account/1404287903/", 1404287903)</f>
        <v>1404287903</v>
      </c>
      <c r="D11549">
        <v>-7715.24</v>
      </c>
    </row>
    <row r="11550" spans="1:4" x14ac:dyDescent="0.25">
      <c r="A11550" t="s">
        <v>704</v>
      </c>
      <c r="B11550" t="s">
        <v>504</v>
      </c>
      <c r="C11550" s="2">
        <f>HYPERLINK("https://sao.dolgi.msk.ru/account/1404292948/", 1404292948)</f>
        <v>1404292948</v>
      </c>
      <c r="D11550">
        <v>4042.6</v>
      </c>
    </row>
    <row r="11551" spans="1:4" hidden="1" x14ac:dyDescent="0.25">
      <c r="A11551" t="s">
        <v>704</v>
      </c>
      <c r="B11551" t="s">
        <v>505</v>
      </c>
      <c r="C11551" s="2">
        <f>HYPERLINK("https://sao.dolgi.msk.ru/account/1404291814/", 1404291814)</f>
        <v>1404291814</v>
      </c>
      <c r="D11551">
        <v>-2162.6999999999998</v>
      </c>
    </row>
    <row r="11552" spans="1:4" hidden="1" x14ac:dyDescent="0.25">
      <c r="A11552" t="s">
        <v>704</v>
      </c>
      <c r="B11552" t="s">
        <v>506</v>
      </c>
      <c r="C11552" s="2">
        <f>HYPERLINK("https://sao.dolgi.msk.ru/account/1404286847/", 1404286847)</f>
        <v>1404286847</v>
      </c>
      <c r="D11552">
        <v>-7596.46</v>
      </c>
    </row>
    <row r="11553" spans="1:4" hidden="1" x14ac:dyDescent="0.25">
      <c r="A11553" t="s">
        <v>704</v>
      </c>
      <c r="B11553" t="s">
        <v>507</v>
      </c>
      <c r="C11553" s="2">
        <f>HYPERLINK("https://sao.dolgi.msk.ru/account/1404288148/", 1404288148)</f>
        <v>1404288148</v>
      </c>
      <c r="D11553">
        <v>0</v>
      </c>
    </row>
    <row r="11554" spans="1:4" hidden="1" x14ac:dyDescent="0.25">
      <c r="A11554" t="s">
        <v>704</v>
      </c>
      <c r="B11554" t="s">
        <v>508</v>
      </c>
      <c r="C11554" s="2">
        <f>HYPERLINK("https://sao.dolgi.msk.ru/account/1404288156/", 1404288156)</f>
        <v>1404288156</v>
      </c>
      <c r="D11554">
        <v>0</v>
      </c>
    </row>
    <row r="11555" spans="1:4" hidden="1" x14ac:dyDescent="0.25">
      <c r="A11555" t="s">
        <v>704</v>
      </c>
      <c r="B11555" t="s">
        <v>509</v>
      </c>
      <c r="C11555" s="2">
        <f>HYPERLINK("https://sao.dolgi.msk.ru/account/1404289466/", 1404289466)</f>
        <v>1404289466</v>
      </c>
      <c r="D11555">
        <v>-4301.16</v>
      </c>
    </row>
    <row r="11556" spans="1:4" x14ac:dyDescent="0.25">
      <c r="A11556" t="s">
        <v>704</v>
      </c>
      <c r="B11556" t="s">
        <v>510</v>
      </c>
      <c r="C11556" s="2">
        <f>HYPERLINK("https://sao.dolgi.msk.ru/account/1404293051/", 1404293051)</f>
        <v>1404293051</v>
      </c>
      <c r="D11556">
        <v>9442.41</v>
      </c>
    </row>
    <row r="11557" spans="1:4" hidden="1" x14ac:dyDescent="0.25">
      <c r="A11557" t="s">
        <v>704</v>
      </c>
      <c r="B11557" t="s">
        <v>511</v>
      </c>
      <c r="C11557" s="2">
        <f>HYPERLINK("https://sao.dolgi.msk.ru/account/1404289976/", 1404289976)</f>
        <v>1404289976</v>
      </c>
      <c r="D11557">
        <v>-6756.68</v>
      </c>
    </row>
    <row r="11558" spans="1:4" hidden="1" x14ac:dyDescent="0.25">
      <c r="A11558" t="s">
        <v>704</v>
      </c>
      <c r="B11558" t="s">
        <v>512</v>
      </c>
      <c r="C11558" s="2">
        <f>HYPERLINK("https://sao.dolgi.msk.ru/account/1404291312/", 1404291312)</f>
        <v>1404291312</v>
      </c>
      <c r="D11558">
        <v>-77.040000000000006</v>
      </c>
    </row>
    <row r="11559" spans="1:4" x14ac:dyDescent="0.25">
      <c r="A11559" t="s">
        <v>704</v>
      </c>
      <c r="B11559" t="s">
        <v>513</v>
      </c>
      <c r="C11559" s="2">
        <f>HYPERLINK("https://sao.dolgi.msk.ru/account/1404288631/", 1404288631)</f>
        <v>1404288631</v>
      </c>
      <c r="D11559">
        <v>8311.6299999999992</v>
      </c>
    </row>
    <row r="11560" spans="1:4" hidden="1" x14ac:dyDescent="0.25">
      <c r="A11560" t="s">
        <v>704</v>
      </c>
      <c r="B11560" t="s">
        <v>514</v>
      </c>
      <c r="C11560" s="2">
        <f>HYPERLINK("https://sao.dolgi.msk.ru/account/1404286791/", 1404286791)</f>
        <v>1404286791</v>
      </c>
      <c r="D11560">
        <v>-7163.62</v>
      </c>
    </row>
    <row r="11561" spans="1:4" hidden="1" x14ac:dyDescent="0.25">
      <c r="A11561" t="s">
        <v>704</v>
      </c>
      <c r="B11561" t="s">
        <v>515</v>
      </c>
      <c r="C11561" s="2">
        <f>HYPERLINK("https://sao.dolgi.msk.ru/account/1404291443/", 1404291443)</f>
        <v>1404291443</v>
      </c>
      <c r="D11561">
        <v>0</v>
      </c>
    </row>
    <row r="11562" spans="1:4" x14ac:dyDescent="0.25">
      <c r="A11562" t="s">
        <v>704</v>
      </c>
      <c r="B11562" t="s">
        <v>516</v>
      </c>
      <c r="C11562" s="2">
        <f>HYPERLINK("https://sao.dolgi.msk.ru/account/1404288738/", 1404288738)</f>
        <v>1404288738</v>
      </c>
      <c r="D11562">
        <v>8245.8700000000008</v>
      </c>
    </row>
    <row r="11563" spans="1:4" hidden="1" x14ac:dyDescent="0.25">
      <c r="A11563" t="s">
        <v>704</v>
      </c>
      <c r="B11563" t="s">
        <v>517</v>
      </c>
      <c r="C11563" s="2">
        <f>HYPERLINK("https://sao.dolgi.msk.ru/account/1404292868/", 1404292868)</f>
        <v>1404292868</v>
      </c>
      <c r="D11563">
        <v>0</v>
      </c>
    </row>
    <row r="11564" spans="1:4" hidden="1" x14ac:dyDescent="0.25">
      <c r="A11564" t="s">
        <v>704</v>
      </c>
      <c r="B11564" t="s">
        <v>518</v>
      </c>
      <c r="C11564" s="2">
        <f>HYPERLINK("https://sao.dolgi.msk.ru/account/1404288623/", 1404288623)</f>
        <v>1404288623</v>
      </c>
      <c r="D11564">
        <v>-8148.99</v>
      </c>
    </row>
    <row r="11565" spans="1:4" hidden="1" x14ac:dyDescent="0.25">
      <c r="A11565" t="s">
        <v>704</v>
      </c>
      <c r="B11565" t="s">
        <v>519</v>
      </c>
      <c r="C11565" s="2">
        <f>HYPERLINK("https://sao.dolgi.msk.ru/account/1404290061/", 1404290061)</f>
        <v>1404290061</v>
      </c>
      <c r="D11565">
        <v>-4333.7299999999996</v>
      </c>
    </row>
    <row r="11566" spans="1:4" hidden="1" x14ac:dyDescent="0.25">
      <c r="A11566" t="s">
        <v>704</v>
      </c>
      <c r="B11566" t="s">
        <v>520</v>
      </c>
      <c r="C11566" s="2">
        <f>HYPERLINK("https://sao.dolgi.msk.ru/account/1404293633/", 1404293633)</f>
        <v>1404293633</v>
      </c>
      <c r="D11566">
        <v>0</v>
      </c>
    </row>
    <row r="11567" spans="1:4" hidden="1" x14ac:dyDescent="0.25">
      <c r="A11567" t="s">
        <v>704</v>
      </c>
      <c r="B11567" t="s">
        <v>521</v>
      </c>
      <c r="C11567" s="2">
        <f>HYPERLINK("https://sao.dolgi.msk.ru/account/1404293326/", 1404293326)</f>
        <v>1404293326</v>
      </c>
      <c r="D11567">
        <v>-7503.63</v>
      </c>
    </row>
    <row r="11568" spans="1:4" hidden="1" x14ac:dyDescent="0.25">
      <c r="A11568" t="s">
        <v>704</v>
      </c>
      <c r="B11568" t="s">
        <v>522</v>
      </c>
      <c r="C11568" s="2">
        <f>HYPERLINK("https://sao.dolgi.msk.ru/account/1404288017/", 1404288017)</f>
        <v>1404288017</v>
      </c>
      <c r="D11568">
        <v>0</v>
      </c>
    </row>
    <row r="11569" spans="1:4" hidden="1" x14ac:dyDescent="0.25">
      <c r="A11569" t="s">
        <v>704</v>
      </c>
      <c r="B11569" t="s">
        <v>523</v>
      </c>
      <c r="C11569" s="2">
        <f>HYPERLINK("https://sao.dolgi.msk.ru/account/1404293342/", 1404293342)</f>
        <v>1404293342</v>
      </c>
      <c r="D11569">
        <v>-6210.53</v>
      </c>
    </row>
    <row r="11570" spans="1:4" hidden="1" x14ac:dyDescent="0.25">
      <c r="A11570" t="s">
        <v>704</v>
      </c>
      <c r="B11570" t="s">
        <v>524</v>
      </c>
      <c r="C11570" s="2">
        <f>HYPERLINK("https://sao.dolgi.msk.ru/account/1404288754/", 1404288754)</f>
        <v>1404288754</v>
      </c>
      <c r="D11570">
        <v>-4709.3999999999996</v>
      </c>
    </row>
    <row r="11571" spans="1:4" hidden="1" x14ac:dyDescent="0.25">
      <c r="A11571" t="s">
        <v>704</v>
      </c>
      <c r="B11571" t="s">
        <v>525</v>
      </c>
      <c r="C11571" s="2">
        <f>HYPERLINK("https://sao.dolgi.msk.ru/account/1404290221/", 1404290221)</f>
        <v>1404290221</v>
      </c>
      <c r="D11571">
        <v>0</v>
      </c>
    </row>
    <row r="11572" spans="1:4" hidden="1" x14ac:dyDescent="0.25">
      <c r="A11572" t="s">
        <v>704</v>
      </c>
      <c r="B11572" t="s">
        <v>526</v>
      </c>
      <c r="C11572" s="2">
        <f>HYPERLINK("https://sao.dolgi.msk.ru/account/1404287831/", 1404287831)</f>
        <v>1404287831</v>
      </c>
      <c r="D11572">
        <v>-108.66</v>
      </c>
    </row>
    <row r="11573" spans="1:4" hidden="1" x14ac:dyDescent="0.25">
      <c r="A11573" t="s">
        <v>704</v>
      </c>
      <c r="B11573" t="s">
        <v>527</v>
      </c>
      <c r="C11573" s="2">
        <f>HYPERLINK("https://sao.dolgi.msk.ru/account/1404291742/", 1404291742)</f>
        <v>1404291742</v>
      </c>
      <c r="D11573">
        <v>-4811.59</v>
      </c>
    </row>
    <row r="11574" spans="1:4" x14ac:dyDescent="0.25">
      <c r="A11574" t="s">
        <v>704</v>
      </c>
      <c r="B11574" t="s">
        <v>528</v>
      </c>
      <c r="C11574" s="2">
        <f>HYPERLINK("https://sao.dolgi.msk.ru/account/1404292999/", 1404292999)</f>
        <v>1404292999</v>
      </c>
      <c r="D11574">
        <v>49769.54</v>
      </c>
    </row>
    <row r="11575" spans="1:4" hidden="1" x14ac:dyDescent="0.25">
      <c r="A11575" t="s">
        <v>704</v>
      </c>
      <c r="B11575" t="s">
        <v>529</v>
      </c>
      <c r="C11575" s="2">
        <f>HYPERLINK("https://sao.dolgi.msk.ru/account/1404286265/", 1404286265)</f>
        <v>1404286265</v>
      </c>
      <c r="D11575">
        <v>-5013.53</v>
      </c>
    </row>
    <row r="11576" spans="1:4" hidden="1" x14ac:dyDescent="0.25">
      <c r="A11576" t="s">
        <v>704</v>
      </c>
      <c r="B11576" t="s">
        <v>530</v>
      </c>
      <c r="C11576" s="2">
        <f>HYPERLINK("https://sao.dolgi.msk.ru/account/1404292147/", 1404292147)</f>
        <v>1404292147</v>
      </c>
      <c r="D11576">
        <v>-108.8</v>
      </c>
    </row>
    <row r="11577" spans="1:4" x14ac:dyDescent="0.25">
      <c r="A11577" t="s">
        <v>704</v>
      </c>
      <c r="B11577" t="s">
        <v>531</v>
      </c>
      <c r="C11577" s="2">
        <f>HYPERLINK("https://sao.dolgi.msk.ru/account/1404289175/", 1404289175)</f>
        <v>1404289175</v>
      </c>
      <c r="D11577">
        <v>2628.93</v>
      </c>
    </row>
    <row r="11578" spans="1:4" hidden="1" x14ac:dyDescent="0.25">
      <c r="A11578" t="s">
        <v>704</v>
      </c>
      <c r="B11578" t="s">
        <v>532</v>
      </c>
      <c r="C11578" s="2">
        <f>HYPERLINK("https://sao.dolgi.msk.ru/account/1404292382/", 1404292382)</f>
        <v>1404292382</v>
      </c>
      <c r="D11578">
        <v>-76.89</v>
      </c>
    </row>
    <row r="11579" spans="1:4" x14ac:dyDescent="0.25">
      <c r="A11579" t="s">
        <v>704</v>
      </c>
      <c r="B11579" t="s">
        <v>533</v>
      </c>
      <c r="C11579" s="2">
        <f>HYPERLINK("https://sao.dolgi.msk.ru/account/1404290424/", 1404290424)</f>
        <v>1404290424</v>
      </c>
      <c r="D11579">
        <v>893.47</v>
      </c>
    </row>
    <row r="11580" spans="1:4" hidden="1" x14ac:dyDescent="0.25">
      <c r="A11580" t="s">
        <v>704</v>
      </c>
      <c r="B11580" t="s">
        <v>534</v>
      </c>
      <c r="C11580" s="2">
        <f>HYPERLINK("https://sao.dolgi.msk.ru/account/1404290504/", 1404290504)</f>
        <v>1404290504</v>
      </c>
      <c r="D11580">
        <v>-6424.31</v>
      </c>
    </row>
    <row r="11581" spans="1:4" hidden="1" x14ac:dyDescent="0.25">
      <c r="A11581" t="s">
        <v>704</v>
      </c>
      <c r="B11581" t="s">
        <v>535</v>
      </c>
      <c r="C11581" s="2">
        <f>HYPERLINK("https://sao.dolgi.msk.ru/account/1404290643/", 1404290643)</f>
        <v>1404290643</v>
      </c>
      <c r="D11581">
        <v>0</v>
      </c>
    </row>
    <row r="11582" spans="1:4" hidden="1" x14ac:dyDescent="0.25">
      <c r="A11582" t="s">
        <v>704</v>
      </c>
      <c r="B11582" t="s">
        <v>536</v>
      </c>
      <c r="C11582" s="2">
        <f>HYPERLINK("https://sao.dolgi.msk.ru/account/1404287962/", 1404287962)</f>
        <v>1404287962</v>
      </c>
      <c r="D11582">
        <v>0</v>
      </c>
    </row>
    <row r="11583" spans="1:4" hidden="1" x14ac:dyDescent="0.25">
      <c r="A11583" t="s">
        <v>704</v>
      </c>
      <c r="B11583" t="s">
        <v>537</v>
      </c>
      <c r="C11583" s="2">
        <f>HYPERLINK("https://sao.dolgi.msk.ru/account/1404293318/", 1404293318)</f>
        <v>1404293318</v>
      </c>
      <c r="D11583">
        <v>-58.22</v>
      </c>
    </row>
    <row r="11584" spans="1:4" hidden="1" x14ac:dyDescent="0.25">
      <c r="A11584" t="s">
        <v>704</v>
      </c>
      <c r="B11584" t="s">
        <v>538</v>
      </c>
      <c r="C11584" s="2">
        <f>HYPERLINK("https://sao.dolgi.msk.ru/account/1404291304/", 1404291304)</f>
        <v>1404291304</v>
      </c>
      <c r="D11584">
        <v>0</v>
      </c>
    </row>
    <row r="11585" spans="1:4" hidden="1" x14ac:dyDescent="0.25">
      <c r="A11585" t="s">
        <v>704</v>
      </c>
      <c r="B11585" t="s">
        <v>539</v>
      </c>
      <c r="C11585" s="2">
        <f>HYPERLINK("https://sao.dolgi.msk.ru/account/1404289108/", 1404289108)</f>
        <v>1404289108</v>
      </c>
      <c r="D11585">
        <v>-5338.37</v>
      </c>
    </row>
    <row r="11586" spans="1:4" x14ac:dyDescent="0.25">
      <c r="A11586" t="s">
        <v>704</v>
      </c>
      <c r="B11586" t="s">
        <v>540</v>
      </c>
      <c r="C11586" s="2">
        <f>HYPERLINK("https://sao.dolgi.msk.ru/account/1404292921/", 1404292921)</f>
        <v>1404292921</v>
      </c>
      <c r="D11586">
        <v>18036.23</v>
      </c>
    </row>
    <row r="11587" spans="1:4" hidden="1" x14ac:dyDescent="0.25">
      <c r="A11587" t="s">
        <v>704</v>
      </c>
      <c r="B11587" t="s">
        <v>541</v>
      </c>
      <c r="C11587" s="2">
        <f>HYPERLINK("https://sao.dolgi.msk.ru/account/1404290029/", 1404290029)</f>
        <v>1404290029</v>
      </c>
      <c r="D11587">
        <v>-58.22</v>
      </c>
    </row>
    <row r="11588" spans="1:4" hidden="1" x14ac:dyDescent="0.25">
      <c r="A11588" t="s">
        <v>704</v>
      </c>
      <c r="B11588" t="s">
        <v>542</v>
      </c>
      <c r="C11588" s="2">
        <f>HYPERLINK("https://sao.dolgi.msk.ru/account/1404292809/", 1404292809)</f>
        <v>1404292809</v>
      </c>
      <c r="D11588">
        <v>0</v>
      </c>
    </row>
    <row r="11589" spans="1:4" hidden="1" x14ac:dyDescent="0.25">
      <c r="A11589" t="s">
        <v>704</v>
      </c>
      <c r="B11589" t="s">
        <v>543</v>
      </c>
      <c r="C11589" s="2">
        <f>HYPERLINK("https://sao.dolgi.msk.ru/account/1404288658/", 1404288658)</f>
        <v>1404288658</v>
      </c>
      <c r="D11589">
        <v>-4922.3999999999996</v>
      </c>
    </row>
    <row r="11590" spans="1:4" x14ac:dyDescent="0.25">
      <c r="A11590" t="s">
        <v>704</v>
      </c>
      <c r="B11590" t="s">
        <v>544</v>
      </c>
      <c r="C11590" s="2">
        <f>HYPERLINK("https://sao.dolgi.msk.ru/account/1404291048/", 1404291048)</f>
        <v>1404291048</v>
      </c>
      <c r="D11590">
        <v>11011.88</v>
      </c>
    </row>
    <row r="11591" spans="1:4" hidden="1" x14ac:dyDescent="0.25">
      <c r="A11591" t="s">
        <v>704</v>
      </c>
      <c r="B11591" t="s">
        <v>545</v>
      </c>
      <c r="C11591" s="2">
        <f>HYPERLINK("https://sao.dolgi.msk.ru/account/1404289597/", 1404289597)</f>
        <v>1404289597</v>
      </c>
      <c r="D11591">
        <v>-5442.05</v>
      </c>
    </row>
    <row r="11592" spans="1:4" hidden="1" x14ac:dyDescent="0.25">
      <c r="A11592" t="s">
        <v>704</v>
      </c>
      <c r="B11592" t="s">
        <v>546</v>
      </c>
      <c r="C11592" s="2">
        <f>HYPERLINK("https://sao.dolgi.msk.ru/account/1404291574/", 1404291574)</f>
        <v>1404291574</v>
      </c>
      <c r="D11592">
        <v>-2086.46</v>
      </c>
    </row>
    <row r="11593" spans="1:4" hidden="1" x14ac:dyDescent="0.25">
      <c r="A11593" t="s">
        <v>704</v>
      </c>
      <c r="B11593" t="s">
        <v>547</v>
      </c>
      <c r="C11593" s="2">
        <f>HYPERLINK("https://sao.dolgi.msk.ru/account/1404289394/", 1404289394)</f>
        <v>1404289394</v>
      </c>
      <c r="D11593">
        <v>0</v>
      </c>
    </row>
    <row r="11594" spans="1:4" hidden="1" x14ac:dyDescent="0.25">
      <c r="A11594" t="s">
        <v>704</v>
      </c>
      <c r="B11594" t="s">
        <v>548</v>
      </c>
      <c r="C11594" s="2">
        <f>HYPERLINK("https://sao.dolgi.msk.ru/account/1404291857/", 1404291857)</f>
        <v>1404291857</v>
      </c>
      <c r="D11594">
        <v>-4893.2700000000004</v>
      </c>
    </row>
    <row r="11595" spans="1:4" hidden="1" x14ac:dyDescent="0.25">
      <c r="A11595" t="s">
        <v>704</v>
      </c>
      <c r="B11595" t="s">
        <v>549</v>
      </c>
      <c r="C11595" s="2">
        <f>HYPERLINK("https://sao.dolgi.msk.ru/account/1404287591/", 1404287591)</f>
        <v>1404287591</v>
      </c>
      <c r="D11595">
        <v>-60.13</v>
      </c>
    </row>
    <row r="11596" spans="1:4" x14ac:dyDescent="0.25">
      <c r="A11596" t="s">
        <v>704</v>
      </c>
      <c r="B11596" t="s">
        <v>550</v>
      </c>
      <c r="C11596" s="2">
        <f>HYPERLINK("https://sao.dolgi.msk.ru/account/1404292817/", 1404292817)</f>
        <v>1404292817</v>
      </c>
      <c r="D11596">
        <v>39665.360000000001</v>
      </c>
    </row>
    <row r="11597" spans="1:4" hidden="1" x14ac:dyDescent="0.25">
      <c r="A11597" t="s">
        <v>704</v>
      </c>
      <c r="B11597" t="s">
        <v>551</v>
      </c>
      <c r="C11597" s="2">
        <f>HYPERLINK("https://sao.dolgi.msk.ru/account/1404286855/", 1404286855)</f>
        <v>1404286855</v>
      </c>
      <c r="D11597">
        <v>-7740.51</v>
      </c>
    </row>
    <row r="11598" spans="1:4" hidden="1" x14ac:dyDescent="0.25">
      <c r="A11598" t="s">
        <v>704</v>
      </c>
      <c r="B11598" t="s">
        <v>552</v>
      </c>
      <c r="C11598" s="2">
        <f>HYPERLINK("https://sao.dolgi.msk.ru/account/1404287794/", 1404287794)</f>
        <v>1404287794</v>
      </c>
      <c r="D11598">
        <v>-3935.39</v>
      </c>
    </row>
    <row r="11599" spans="1:4" hidden="1" x14ac:dyDescent="0.25">
      <c r="A11599" t="s">
        <v>704</v>
      </c>
      <c r="B11599" t="s">
        <v>553</v>
      </c>
      <c r="C11599" s="2">
        <f>HYPERLINK("https://sao.dolgi.msk.ru/account/1404287989/", 1404287989)</f>
        <v>1404287989</v>
      </c>
      <c r="D11599">
        <v>0</v>
      </c>
    </row>
    <row r="11600" spans="1:4" hidden="1" x14ac:dyDescent="0.25">
      <c r="A11600" t="s">
        <v>704</v>
      </c>
      <c r="B11600" t="s">
        <v>554</v>
      </c>
      <c r="C11600" s="2">
        <f>HYPERLINK("https://sao.dolgi.msk.ru/account/1404292374/", 1404292374)</f>
        <v>1404292374</v>
      </c>
      <c r="D11600">
        <v>0</v>
      </c>
    </row>
    <row r="11601" spans="1:4" hidden="1" x14ac:dyDescent="0.25">
      <c r="A11601" t="s">
        <v>704</v>
      </c>
      <c r="B11601" t="s">
        <v>555</v>
      </c>
      <c r="C11601" s="2">
        <f>HYPERLINK("https://sao.dolgi.msk.ru/account/1404288711/", 1404288711)</f>
        <v>1404288711</v>
      </c>
      <c r="D11601">
        <v>-3962.92</v>
      </c>
    </row>
    <row r="11602" spans="1:4" hidden="1" x14ac:dyDescent="0.25">
      <c r="A11602" t="s">
        <v>704</v>
      </c>
      <c r="B11602" t="s">
        <v>556</v>
      </c>
      <c r="C11602" s="2">
        <f>HYPERLINK("https://sao.dolgi.msk.ru/account/1404286548/", 1404286548)</f>
        <v>1404286548</v>
      </c>
      <c r="D11602">
        <v>-2482.35</v>
      </c>
    </row>
    <row r="11603" spans="1:4" hidden="1" x14ac:dyDescent="0.25">
      <c r="A11603" t="s">
        <v>704</v>
      </c>
      <c r="B11603" t="s">
        <v>556</v>
      </c>
      <c r="C11603" s="2">
        <f>HYPERLINK("https://sao.dolgi.msk.ru/account/1404288826/", 1404288826)</f>
        <v>1404288826</v>
      </c>
      <c r="D11603">
        <v>-1535.08</v>
      </c>
    </row>
    <row r="11604" spans="1:4" hidden="1" x14ac:dyDescent="0.25">
      <c r="A11604" t="s">
        <v>704</v>
      </c>
      <c r="B11604" t="s">
        <v>557</v>
      </c>
      <c r="C11604" s="2">
        <f>HYPERLINK("https://sao.dolgi.msk.ru/account/1404290045/", 1404290045)</f>
        <v>1404290045</v>
      </c>
      <c r="D11604">
        <v>0</v>
      </c>
    </row>
    <row r="11605" spans="1:4" hidden="1" x14ac:dyDescent="0.25">
      <c r="A11605" t="s">
        <v>704</v>
      </c>
      <c r="B11605" t="s">
        <v>558</v>
      </c>
      <c r="C11605" s="2">
        <f>HYPERLINK("https://sao.dolgi.msk.ru/account/1404286521/", 1404286521)</f>
        <v>1404286521</v>
      </c>
      <c r="D11605">
        <v>-9012.99</v>
      </c>
    </row>
    <row r="11606" spans="1:4" hidden="1" x14ac:dyDescent="0.25">
      <c r="A11606" t="s">
        <v>704</v>
      </c>
      <c r="B11606" t="s">
        <v>559</v>
      </c>
      <c r="C11606" s="2">
        <f>HYPERLINK("https://sao.dolgi.msk.ru/account/1404289327/", 1404289327)</f>
        <v>1404289327</v>
      </c>
      <c r="D11606">
        <v>-5542.49</v>
      </c>
    </row>
    <row r="11607" spans="1:4" hidden="1" x14ac:dyDescent="0.25">
      <c r="A11607" t="s">
        <v>704</v>
      </c>
      <c r="B11607" t="s">
        <v>560</v>
      </c>
      <c r="C11607" s="2">
        <f>HYPERLINK("https://sao.dolgi.msk.ru/account/1404286708/", 1404286708)</f>
        <v>1404286708</v>
      </c>
      <c r="D11607">
        <v>-5668.7</v>
      </c>
    </row>
    <row r="11608" spans="1:4" hidden="1" x14ac:dyDescent="0.25">
      <c r="A11608" t="s">
        <v>704</v>
      </c>
      <c r="B11608" t="s">
        <v>561</v>
      </c>
      <c r="C11608" s="2">
        <f>HYPERLINK("https://sao.dolgi.msk.ru/account/1404292278/", 1404292278)</f>
        <v>1404292278</v>
      </c>
      <c r="D11608">
        <v>0</v>
      </c>
    </row>
    <row r="11609" spans="1:4" hidden="1" x14ac:dyDescent="0.25">
      <c r="A11609" t="s">
        <v>704</v>
      </c>
      <c r="B11609" t="s">
        <v>562</v>
      </c>
      <c r="C11609" s="2">
        <f>HYPERLINK("https://sao.dolgi.msk.ru/account/1404290678/", 1404290678)</f>
        <v>1404290678</v>
      </c>
      <c r="D11609">
        <v>0</v>
      </c>
    </row>
    <row r="11610" spans="1:4" hidden="1" x14ac:dyDescent="0.25">
      <c r="A11610" t="s">
        <v>704</v>
      </c>
      <c r="B11610" t="s">
        <v>563</v>
      </c>
      <c r="C11610" s="2">
        <f>HYPERLINK("https://sao.dolgi.msk.ru/account/1404288033/", 1404288033)</f>
        <v>1404288033</v>
      </c>
      <c r="D11610">
        <v>-6087.36</v>
      </c>
    </row>
    <row r="11611" spans="1:4" hidden="1" x14ac:dyDescent="0.25">
      <c r="A11611" t="s">
        <v>704</v>
      </c>
      <c r="B11611" t="s">
        <v>564</v>
      </c>
      <c r="C11611" s="2">
        <f>HYPERLINK("https://sao.dolgi.msk.ru/account/1404293529/", 1404293529)</f>
        <v>1404293529</v>
      </c>
      <c r="D11611">
        <v>0</v>
      </c>
    </row>
    <row r="11612" spans="1:4" hidden="1" x14ac:dyDescent="0.25">
      <c r="A11612" t="s">
        <v>704</v>
      </c>
      <c r="B11612" t="s">
        <v>565</v>
      </c>
      <c r="C11612" s="2">
        <f>HYPERLINK("https://sao.dolgi.msk.ru/account/1404292673/", 1404292673)</f>
        <v>1404292673</v>
      </c>
      <c r="D11612">
        <v>0</v>
      </c>
    </row>
    <row r="11613" spans="1:4" hidden="1" x14ac:dyDescent="0.25">
      <c r="A11613" t="s">
        <v>704</v>
      </c>
      <c r="B11613" t="s">
        <v>566</v>
      </c>
      <c r="C11613" s="2">
        <f>HYPERLINK("https://sao.dolgi.msk.ru/account/1404291566/", 1404291566)</f>
        <v>1404291566</v>
      </c>
      <c r="D11613">
        <v>-6140.92</v>
      </c>
    </row>
    <row r="11614" spans="1:4" x14ac:dyDescent="0.25">
      <c r="A11614" t="s">
        <v>704</v>
      </c>
      <c r="B11614" t="s">
        <v>567</v>
      </c>
      <c r="C11614" s="2">
        <f>HYPERLINK("https://sao.dolgi.msk.ru/account/1404289204/", 1404289204)</f>
        <v>1404289204</v>
      </c>
      <c r="D11614">
        <v>3815.37</v>
      </c>
    </row>
    <row r="11615" spans="1:4" x14ac:dyDescent="0.25">
      <c r="A11615" t="s">
        <v>704</v>
      </c>
      <c r="B11615" t="s">
        <v>568</v>
      </c>
      <c r="C11615" s="2">
        <f>HYPERLINK("https://sao.dolgi.msk.ru/account/1404293094/", 1404293094)</f>
        <v>1404293094</v>
      </c>
      <c r="D11615">
        <v>9656.2199999999993</v>
      </c>
    </row>
    <row r="11616" spans="1:4" x14ac:dyDescent="0.25">
      <c r="A11616" t="s">
        <v>704</v>
      </c>
      <c r="B11616" t="s">
        <v>569</v>
      </c>
      <c r="C11616" s="2">
        <f>HYPERLINK("https://sao.dolgi.msk.ru/account/1404289423/", 1404289423)</f>
        <v>1404289423</v>
      </c>
      <c r="D11616">
        <v>48611.3</v>
      </c>
    </row>
    <row r="11617" spans="1:4" hidden="1" x14ac:dyDescent="0.25">
      <c r="A11617" t="s">
        <v>704</v>
      </c>
      <c r="B11617" t="s">
        <v>570</v>
      </c>
      <c r="C11617" s="2">
        <f>HYPERLINK("https://sao.dolgi.msk.ru/account/1404292411/", 1404292411)</f>
        <v>1404292411</v>
      </c>
      <c r="D11617">
        <v>-6496.66</v>
      </c>
    </row>
    <row r="11618" spans="1:4" hidden="1" x14ac:dyDescent="0.25">
      <c r="A11618" t="s">
        <v>704</v>
      </c>
      <c r="B11618" t="s">
        <v>571</v>
      </c>
      <c r="C11618" s="2">
        <f>HYPERLINK("https://sao.dolgi.msk.ru/account/1404292243/", 1404292243)</f>
        <v>1404292243</v>
      </c>
      <c r="D11618">
        <v>0</v>
      </c>
    </row>
    <row r="11619" spans="1:4" hidden="1" x14ac:dyDescent="0.25">
      <c r="A11619" t="s">
        <v>704</v>
      </c>
      <c r="B11619" t="s">
        <v>572</v>
      </c>
      <c r="C11619" s="2">
        <f>HYPERLINK("https://sao.dolgi.msk.ru/account/1404290053/", 1404290053)</f>
        <v>1404290053</v>
      </c>
      <c r="D11619">
        <v>-4144.76</v>
      </c>
    </row>
    <row r="11620" spans="1:4" hidden="1" x14ac:dyDescent="0.25">
      <c r="A11620" t="s">
        <v>704</v>
      </c>
      <c r="B11620" t="s">
        <v>573</v>
      </c>
      <c r="C11620" s="2">
        <f>HYPERLINK("https://sao.dolgi.msk.ru/account/1404293481/", 1404293481)</f>
        <v>1404293481</v>
      </c>
      <c r="D11620">
        <v>0</v>
      </c>
    </row>
    <row r="11621" spans="1:4" x14ac:dyDescent="0.25">
      <c r="A11621" t="s">
        <v>704</v>
      </c>
      <c r="B11621" t="s">
        <v>574</v>
      </c>
      <c r="C11621" s="2">
        <f>HYPERLINK("https://sao.dolgi.msk.ru/account/1404286302/", 1404286302)</f>
        <v>1404286302</v>
      </c>
      <c r="D11621">
        <v>6065.72</v>
      </c>
    </row>
    <row r="11622" spans="1:4" hidden="1" x14ac:dyDescent="0.25">
      <c r="A11622" t="s">
        <v>704</v>
      </c>
      <c r="B11622" t="s">
        <v>575</v>
      </c>
      <c r="C11622" s="2">
        <f>HYPERLINK("https://sao.dolgi.msk.ru/account/1404289255/", 1404289255)</f>
        <v>1404289255</v>
      </c>
      <c r="D11622">
        <v>-4190.3500000000004</v>
      </c>
    </row>
    <row r="11623" spans="1:4" hidden="1" x14ac:dyDescent="0.25">
      <c r="A11623" t="s">
        <v>704</v>
      </c>
      <c r="B11623" t="s">
        <v>576</v>
      </c>
      <c r="C11623" s="2">
        <f>HYPERLINK("https://sao.dolgi.msk.ru/account/1404286353/", 1404286353)</f>
        <v>1404286353</v>
      </c>
      <c r="D11623">
        <v>0</v>
      </c>
    </row>
    <row r="11624" spans="1:4" hidden="1" x14ac:dyDescent="0.25">
      <c r="A11624" t="s">
        <v>704</v>
      </c>
      <c r="B11624" t="s">
        <v>577</v>
      </c>
      <c r="C11624" s="2">
        <f>HYPERLINK("https://sao.dolgi.msk.ru/account/1404290686/", 1404290686)</f>
        <v>1404290686</v>
      </c>
      <c r="D11624">
        <v>-4962.47</v>
      </c>
    </row>
    <row r="11625" spans="1:4" hidden="1" x14ac:dyDescent="0.25">
      <c r="A11625" t="s">
        <v>704</v>
      </c>
      <c r="B11625" t="s">
        <v>578</v>
      </c>
      <c r="C11625" s="2">
        <f>HYPERLINK("https://sao.dolgi.msk.ru/account/1404288893/", 1404288893)</f>
        <v>1404288893</v>
      </c>
      <c r="D11625">
        <v>-5221.92</v>
      </c>
    </row>
    <row r="11626" spans="1:4" hidden="1" x14ac:dyDescent="0.25">
      <c r="A11626" t="s">
        <v>704</v>
      </c>
      <c r="B11626" t="s">
        <v>579</v>
      </c>
      <c r="C11626" s="2">
        <f>HYPERLINK("https://sao.dolgi.msk.ru/account/1404288818/", 1404288818)</f>
        <v>1404288818</v>
      </c>
      <c r="D11626">
        <v>-38.520000000000003</v>
      </c>
    </row>
    <row r="11627" spans="1:4" hidden="1" x14ac:dyDescent="0.25">
      <c r="A11627" t="s">
        <v>704</v>
      </c>
      <c r="B11627" t="s">
        <v>580</v>
      </c>
      <c r="C11627" s="2">
        <f>HYPERLINK("https://sao.dolgi.msk.ru/account/1404292032/", 1404292032)</f>
        <v>1404292032</v>
      </c>
      <c r="D11627">
        <v>-6065.2</v>
      </c>
    </row>
    <row r="11628" spans="1:4" hidden="1" x14ac:dyDescent="0.25">
      <c r="A11628" t="s">
        <v>704</v>
      </c>
      <c r="B11628" t="s">
        <v>581</v>
      </c>
      <c r="C11628" s="2">
        <f>HYPERLINK("https://sao.dolgi.msk.ru/account/1404290002/", 1404290002)</f>
        <v>1404290002</v>
      </c>
      <c r="D11628">
        <v>-6267.12</v>
      </c>
    </row>
    <row r="11629" spans="1:4" hidden="1" x14ac:dyDescent="0.25">
      <c r="A11629" t="s">
        <v>704</v>
      </c>
      <c r="B11629" t="s">
        <v>582</v>
      </c>
      <c r="C11629" s="2">
        <f>HYPERLINK("https://sao.dolgi.msk.ru/account/1404288068/", 1404288068)</f>
        <v>1404288068</v>
      </c>
      <c r="D11629">
        <v>-6838.36</v>
      </c>
    </row>
    <row r="11630" spans="1:4" x14ac:dyDescent="0.25">
      <c r="A11630" t="s">
        <v>704</v>
      </c>
      <c r="B11630" t="s">
        <v>583</v>
      </c>
      <c r="C11630" s="2">
        <f>HYPERLINK("https://sao.dolgi.msk.ru/account/1404291099/", 1404291099)</f>
        <v>1404291099</v>
      </c>
      <c r="D11630">
        <v>28056.05</v>
      </c>
    </row>
    <row r="11631" spans="1:4" hidden="1" x14ac:dyDescent="0.25">
      <c r="A11631" t="s">
        <v>704</v>
      </c>
      <c r="B11631" t="s">
        <v>584</v>
      </c>
      <c r="C11631" s="2">
        <f>HYPERLINK("https://sao.dolgi.msk.ru/account/1404289386/", 1404289386)</f>
        <v>1404289386</v>
      </c>
      <c r="D11631">
        <v>-53.37</v>
      </c>
    </row>
    <row r="11632" spans="1:4" hidden="1" x14ac:dyDescent="0.25">
      <c r="A11632" t="s">
        <v>704</v>
      </c>
      <c r="B11632" t="s">
        <v>585</v>
      </c>
      <c r="C11632" s="2">
        <f>HYPERLINK("https://sao.dolgi.msk.ru/account/1404291419/", 1404291419)</f>
        <v>1404291419</v>
      </c>
      <c r="D11632">
        <v>-5207.72</v>
      </c>
    </row>
    <row r="11633" spans="1:4" hidden="1" x14ac:dyDescent="0.25">
      <c r="A11633" t="s">
        <v>704</v>
      </c>
      <c r="B11633" t="s">
        <v>586</v>
      </c>
      <c r="C11633" s="2">
        <f>HYPERLINK("https://sao.dolgi.msk.ru/account/1404286249/", 1404286249)</f>
        <v>1404286249</v>
      </c>
      <c r="D11633">
        <v>-7107.91</v>
      </c>
    </row>
    <row r="11634" spans="1:4" hidden="1" x14ac:dyDescent="0.25">
      <c r="A11634" t="s">
        <v>704</v>
      </c>
      <c r="B11634" t="s">
        <v>587</v>
      </c>
      <c r="C11634" s="2">
        <f>HYPERLINK("https://sao.dolgi.msk.ru/account/1404291232/", 1404291232)</f>
        <v>1404291232</v>
      </c>
      <c r="D11634">
        <v>-77.19</v>
      </c>
    </row>
    <row r="11635" spans="1:4" hidden="1" x14ac:dyDescent="0.25">
      <c r="A11635" t="s">
        <v>704</v>
      </c>
      <c r="B11635" t="s">
        <v>588</v>
      </c>
      <c r="C11635" s="2">
        <f>HYPERLINK("https://sao.dolgi.msk.ru/account/1404292497/", 1404292497)</f>
        <v>1404292497</v>
      </c>
      <c r="D11635">
        <v>-76.87</v>
      </c>
    </row>
    <row r="11636" spans="1:4" hidden="1" x14ac:dyDescent="0.25">
      <c r="A11636" t="s">
        <v>704</v>
      </c>
      <c r="B11636" t="s">
        <v>589</v>
      </c>
      <c r="C11636" s="2">
        <f>HYPERLINK("https://sao.dolgi.msk.ru/account/1404286484/", 1404286484)</f>
        <v>1404286484</v>
      </c>
      <c r="D11636">
        <v>-2543.81</v>
      </c>
    </row>
    <row r="11637" spans="1:4" hidden="1" x14ac:dyDescent="0.25">
      <c r="A11637" t="s">
        <v>704</v>
      </c>
      <c r="B11637" t="s">
        <v>590</v>
      </c>
      <c r="C11637" s="2">
        <f>HYPERLINK("https://sao.dolgi.msk.ru/account/1404293377/", 1404293377)</f>
        <v>1404293377</v>
      </c>
      <c r="D11637">
        <v>-6084.94</v>
      </c>
    </row>
    <row r="11638" spans="1:4" hidden="1" x14ac:dyDescent="0.25">
      <c r="A11638" t="s">
        <v>704</v>
      </c>
      <c r="B11638" t="s">
        <v>591</v>
      </c>
      <c r="C11638" s="2">
        <f>HYPERLINK("https://sao.dolgi.msk.ru/account/1404289036/", 1404289036)</f>
        <v>1404289036</v>
      </c>
      <c r="D11638">
        <v>-3112.94</v>
      </c>
    </row>
    <row r="11639" spans="1:4" hidden="1" x14ac:dyDescent="0.25">
      <c r="A11639" t="s">
        <v>704</v>
      </c>
      <c r="B11639" t="s">
        <v>592</v>
      </c>
      <c r="C11639" s="2">
        <f>HYPERLINK("https://sao.dolgi.msk.ru/account/1404289669/", 1404289669)</f>
        <v>1404289669</v>
      </c>
      <c r="D11639">
        <v>-5591.68</v>
      </c>
    </row>
    <row r="11640" spans="1:4" hidden="1" x14ac:dyDescent="0.25">
      <c r="A11640" t="s">
        <v>704</v>
      </c>
      <c r="B11640" t="s">
        <v>593</v>
      </c>
      <c r="C11640" s="2">
        <f>HYPERLINK("https://sao.dolgi.msk.ru/account/1404293254/", 1404293254)</f>
        <v>1404293254</v>
      </c>
      <c r="D11640">
        <v>-5485.52</v>
      </c>
    </row>
    <row r="11641" spans="1:4" hidden="1" x14ac:dyDescent="0.25">
      <c r="A11641" t="s">
        <v>704</v>
      </c>
      <c r="B11641" t="s">
        <v>594</v>
      </c>
      <c r="C11641" s="2">
        <f>HYPERLINK("https://sao.dolgi.msk.ru/account/1404293545/", 1404293545)</f>
        <v>1404293545</v>
      </c>
      <c r="D11641">
        <v>-7135.92</v>
      </c>
    </row>
    <row r="11642" spans="1:4" hidden="1" x14ac:dyDescent="0.25">
      <c r="A11642" t="s">
        <v>704</v>
      </c>
      <c r="B11642" t="s">
        <v>595</v>
      </c>
      <c r="C11642" s="2">
        <f>HYPERLINK("https://sao.dolgi.msk.ru/account/1404291187/", 1404291187)</f>
        <v>1404291187</v>
      </c>
      <c r="D11642">
        <v>-57.89</v>
      </c>
    </row>
    <row r="11643" spans="1:4" hidden="1" x14ac:dyDescent="0.25">
      <c r="A11643" t="s">
        <v>704</v>
      </c>
      <c r="B11643" t="s">
        <v>596</v>
      </c>
      <c r="C11643" s="2">
        <f>HYPERLINK("https://sao.dolgi.msk.ru/account/1404286214/", 1404286214)</f>
        <v>1404286214</v>
      </c>
      <c r="D11643">
        <v>-7016.66</v>
      </c>
    </row>
    <row r="11644" spans="1:4" hidden="1" x14ac:dyDescent="0.25">
      <c r="A11644" t="s">
        <v>704</v>
      </c>
      <c r="B11644" t="s">
        <v>597</v>
      </c>
      <c r="C11644" s="2">
        <f>HYPERLINK("https://sao.dolgi.msk.ru/account/1404286118/", 1404286118)</f>
        <v>1404286118</v>
      </c>
      <c r="D11644">
        <v>0</v>
      </c>
    </row>
    <row r="11645" spans="1:4" hidden="1" x14ac:dyDescent="0.25">
      <c r="A11645" t="s">
        <v>704</v>
      </c>
      <c r="B11645" t="s">
        <v>598</v>
      </c>
      <c r="C11645" s="2">
        <f>HYPERLINK("https://sao.dolgi.msk.ru/account/1404289829/", 1404289829)</f>
        <v>1404289829</v>
      </c>
      <c r="D11645">
        <v>-7714.68</v>
      </c>
    </row>
    <row r="11646" spans="1:4" hidden="1" x14ac:dyDescent="0.25">
      <c r="A11646" t="s">
        <v>704</v>
      </c>
      <c r="B11646" t="s">
        <v>599</v>
      </c>
      <c r="C11646" s="2">
        <f>HYPERLINK("https://sao.dolgi.msk.ru/account/1404286177/", 1404286177)</f>
        <v>1404286177</v>
      </c>
      <c r="D11646">
        <v>-77.19</v>
      </c>
    </row>
    <row r="11647" spans="1:4" hidden="1" x14ac:dyDescent="0.25">
      <c r="A11647" t="s">
        <v>704</v>
      </c>
      <c r="B11647" t="s">
        <v>600</v>
      </c>
      <c r="C11647" s="2">
        <f>HYPERLINK("https://sao.dolgi.msk.ru/account/1404289706/", 1404289706)</f>
        <v>1404289706</v>
      </c>
      <c r="D11647">
        <v>0</v>
      </c>
    </row>
    <row r="11648" spans="1:4" hidden="1" x14ac:dyDescent="0.25">
      <c r="A11648" t="s">
        <v>704</v>
      </c>
      <c r="B11648" t="s">
        <v>601</v>
      </c>
      <c r="C11648" s="2">
        <f>HYPERLINK("https://sao.dolgi.msk.ru/account/1404289757/", 1404289757)</f>
        <v>1404289757</v>
      </c>
      <c r="D11648">
        <v>-5755.19</v>
      </c>
    </row>
    <row r="11649" spans="1:4" hidden="1" x14ac:dyDescent="0.25">
      <c r="A11649" t="s">
        <v>704</v>
      </c>
      <c r="B11649" t="s">
        <v>602</v>
      </c>
      <c r="C11649" s="2">
        <f>HYPERLINK("https://sao.dolgi.msk.ru/account/1404290993/", 1404290993)</f>
        <v>1404290993</v>
      </c>
      <c r="D11649">
        <v>-55.29</v>
      </c>
    </row>
    <row r="11650" spans="1:4" hidden="1" x14ac:dyDescent="0.25">
      <c r="A11650" t="s">
        <v>704</v>
      </c>
      <c r="B11650" t="s">
        <v>603</v>
      </c>
      <c r="C11650" s="2">
        <f>HYPERLINK("https://sao.dolgi.msk.ru/account/1404287954/", 1404287954)</f>
        <v>1404287954</v>
      </c>
      <c r="D11650">
        <v>-6142.17</v>
      </c>
    </row>
    <row r="11651" spans="1:4" hidden="1" x14ac:dyDescent="0.25">
      <c r="A11651" t="s">
        <v>704</v>
      </c>
      <c r="B11651" t="s">
        <v>604</v>
      </c>
      <c r="C11651" s="2">
        <f>HYPERLINK("https://sao.dolgi.msk.ru/account/1404287049/", 1404287049)</f>
        <v>1404287049</v>
      </c>
      <c r="D11651">
        <v>-4367.6099999999997</v>
      </c>
    </row>
    <row r="11652" spans="1:4" hidden="1" x14ac:dyDescent="0.25">
      <c r="A11652" t="s">
        <v>704</v>
      </c>
      <c r="B11652" t="s">
        <v>605</v>
      </c>
      <c r="C11652" s="2">
        <f>HYPERLINK("https://sao.dolgi.msk.ru/account/1404290272/", 1404290272)</f>
        <v>1404290272</v>
      </c>
      <c r="D11652">
        <v>-4184.03</v>
      </c>
    </row>
    <row r="11653" spans="1:4" hidden="1" x14ac:dyDescent="0.25">
      <c r="A11653" t="s">
        <v>704</v>
      </c>
      <c r="B11653" t="s">
        <v>606</v>
      </c>
      <c r="C11653" s="2">
        <f>HYPERLINK("https://sao.dolgi.msk.ru/account/1404287321/", 1404287321)</f>
        <v>1404287321</v>
      </c>
      <c r="D11653">
        <v>-7891.37</v>
      </c>
    </row>
    <row r="11654" spans="1:4" hidden="1" x14ac:dyDescent="0.25">
      <c r="A11654" t="s">
        <v>704</v>
      </c>
      <c r="B11654" t="s">
        <v>607</v>
      </c>
      <c r="C11654" s="2">
        <f>HYPERLINK("https://sao.dolgi.msk.ru/account/1404290387/", 1404290387)</f>
        <v>1404290387</v>
      </c>
      <c r="D11654">
        <v>0</v>
      </c>
    </row>
    <row r="11655" spans="1:4" hidden="1" x14ac:dyDescent="0.25">
      <c r="A11655" t="s">
        <v>704</v>
      </c>
      <c r="B11655" t="s">
        <v>608</v>
      </c>
      <c r="C11655" s="2">
        <f>HYPERLINK("https://sao.dolgi.msk.ru/account/1404289853/", 1404289853)</f>
        <v>1404289853</v>
      </c>
      <c r="D11655">
        <v>-5942.6</v>
      </c>
    </row>
    <row r="11656" spans="1:4" hidden="1" x14ac:dyDescent="0.25">
      <c r="A11656" t="s">
        <v>704</v>
      </c>
      <c r="B11656" t="s">
        <v>609</v>
      </c>
      <c r="C11656" s="2">
        <f>HYPERLINK("https://sao.dolgi.msk.ru/account/1404289618/", 1404289618)</f>
        <v>1404289618</v>
      </c>
      <c r="D11656">
        <v>0</v>
      </c>
    </row>
    <row r="11657" spans="1:4" hidden="1" x14ac:dyDescent="0.25">
      <c r="A11657" t="s">
        <v>704</v>
      </c>
      <c r="B11657" t="s">
        <v>610</v>
      </c>
      <c r="C11657" s="2">
        <f>HYPERLINK("https://sao.dolgi.msk.ru/account/1404291697/", 1404291697)</f>
        <v>1404291697</v>
      </c>
      <c r="D11657">
        <v>-9113.31</v>
      </c>
    </row>
    <row r="11658" spans="1:4" hidden="1" x14ac:dyDescent="0.25">
      <c r="A11658" t="s">
        <v>704</v>
      </c>
      <c r="B11658" t="s">
        <v>611</v>
      </c>
      <c r="C11658" s="2">
        <f>HYPERLINK("https://sao.dolgi.msk.ru/account/1404287188/", 1404287188)</f>
        <v>1404287188</v>
      </c>
      <c r="D11658">
        <v>-4693.6499999999996</v>
      </c>
    </row>
    <row r="11659" spans="1:4" hidden="1" x14ac:dyDescent="0.25">
      <c r="A11659" t="s">
        <v>704</v>
      </c>
      <c r="B11659" t="s">
        <v>612</v>
      </c>
      <c r="C11659" s="2">
        <f>HYPERLINK("https://sao.dolgi.msk.ru/account/1404287997/", 1404287997)</f>
        <v>1404287997</v>
      </c>
      <c r="D11659">
        <v>-6143.58</v>
      </c>
    </row>
    <row r="11660" spans="1:4" hidden="1" x14ac:dyDescent="0.25">
      <c r="A11660" t="s">
        <v>704</v>
      </c>
      <c r="B11660" t="s">
        <v>613</v>
      </c>
      <c r="C11660" s="2">
        <f>HYPERLINK("https://sao.dolgi.msk.ru/account/1404289415/", 1404289415)</f>
        <v>1404289415</v>
      </c>
      <c r="D11660">
        <v>0</v>
      </c>
    </row>
    <row r="11661" spans="1:4" x14ac:dyDescent="0.25">
      <c r="A11661" t="s">
        <v>704</v>
      </c>
      <c r="B11661" t="s">
        <v>614</v>
      </c>
      <c r="C11661" s="2">
        <f>HYPERLINK("https://sao.dolgi.msk.ru/account/1404289511/", 1404289511)</f>
        <v>1404289511</v>
      </c>
      <c r="D11661">
        <v>11493.11</v>
      </c>
    </row>
    <row r="11662" spans="1:4" x14ac:dyDescent="0.25">
      <c r="A11662" t="s">
        <v>704</v>
      </c>
      <c r="B11662" t="s">
        <v>615</v>
      </c>
      <c r="C11662" s="2">
        <f>HYPERLINK("https://sao.dolgi.msk.ru/account/1404288949/", 1404288949)</f>
        <v>1404288949</v>
      </c>
      <c r="D11662">
        <v>6502.07</v>
      </c>
    </row>
    <row r="11663" spans="1:4" hidden="1" x14ac:dyDescent="0.25">
      <c r="A11663" t="s">
        <v>704</v>
      </c>
      <c r="B11663" t="s">
        <v>616</v>
      </c>
      <c r="C11663" s="2">
        <f>HYPERLINK("https://sao.dolgi.msk.ru/account/1404289028/", 1404289028)</f>
        <v>1404289028</v>
      </c>
      <c r="D11663">
        <v>-5477.7</v>
      </c>
    </row>
    <row r="11664" spans="1:4" hidden="1" x14ac:dyDescent="0.25">
      <c r="A11664" t="s">
        <v>704</v>
      </c>
      <c r="B11664" t="s">
        <v>617</v>
      </c>
      <c r="C11664" s="2">
        <f>HYPERLINK("https://sao.dolgi.msk.ru/account/1404288666/", 1404288666)</f>
        <v>1404288666</v>
      </c>
      <c r="D11664">
        <v>-2669.79</v>
      </c>
    </row>
    <row r="11665" spans="1:4" hidden="1" x14ac:dyDescent="0.25">
      <c r="A11665" t="s">
        <v>704</v>
      </c>
      <c r="B11665" t="s">
        <v>618</v>
      </c>
      <c r="C11665" s="2">
        <f>HYPERLINK("https://sao.dolgi.msk.ru/account/1404286476/", 1404286476)</f>
        <v>1404286476</v>
      </c>
      <c r="D11665">
        <v>0</v>
      </c>
    </row>
    <row r="11666" spans="1:4" hidden="1" x14ac:dyDescent="0.25">
      <c r="A11666" t="s">
        <v>704</v>
      </c>
      <c r="B11666" t="s">
        <v>619</v>
      </c>
      <c r="C11666" s="2">
        <f>HYPERLINK("https://sao.dolgi.msk.ru/account/1404288842/", 1404288842)</f>
        <v>1404288842</v>
      </c>
      <c r="D11666">
        <v>-38.729999999999997</v>
      </c>
    </row>
    <row r="11667" spans="1:4" hidden="1" x14ac:dyDescent="0.25">
      <c r="A11667" t="s">
        <v>704</v>
      </c>
      <c r="B11667" t="s">
        <v>620</v>
      </c>
      <c r="C11667" s="2">
        <f>HYPERLINK("https://sao.dolgi.msk.ru/account/1404291523/", 1404291523)</f>
        <v>1404291523</v>
      </c>
      <c r="D11667">
        <v>-4672.33</v>
      </c>
    </row>
    <row r="11668" spans="1:4" hidden="1" x14ac:dyDescent="0.25">
      <c r="A11668" t="s">
        <v>704</v>
      </c>
      <c r="B11668" t="s">
        <v>621</v>
      </c>
      <c r="C11668" s="2">
        <f>HYPERLINK("https://sao.dolgi.msk.ru/account/1404293588/", 1404293588)</f>
        <v>1404293588</v>
      </c>
      <c r="D11668">
        <v>-4078.15</v>
      </c>
    </row>
    <row r="11669" spans="1:4" x14ac:dyDescent="0.25">
      <c r="A11669" t="s">
        <v>704</v>
      </c>
      <c r="B11669" t="s">
        <v>622</v>
      </c>
      <c r="C11669" s="2">
        <f>HYPERLINK("https://sao.dolgi.msk.ru/account/1404291988/", 1404291988)</f>
        <v>1404291988</v>
      </c>
      <c r="D11669">
        <v>19161.810000000001</v>
      </c>
    </row>
    <row r="11670" spans="1:4" x14ac:dyDescent="0.25">
      <c r="A11670" t="s">
        <v>704</v>
      </c>
      <c r="B11670" t="s">
        <v>623</v>
      </c>
      <c r="C11670" s="2">
        <f>HYPERLINK("https://sao.dolgi.msk.ru/account/1404286978/", 1404286978)</f>
        <v>1404286978</v>
      </c>
      <c r="D11670">
        <v>6890.78</v>
      </c>
    </row>
    <row r="11671" spans="1:4" hidden="1" x14ac:dyDescent="0.25">
      <c r="A11671" t="s">
        <v>704</v>
      </c>
      <c r="B11671" t="s">
        <v>624</v>
      </c>
      <c r="C11671" s="2">
        <f>HYPERLINK("https://sao.dolgi.msk.ru/account/1404291996/", 1404291996)</f>
        <v>1404291996</v>
      </c>
      <c r="D11671">
        <v>-7122.89</v>
      </c>
    </row>
    <row r="11672" spans="1:4" x14ac:dyDescent="0.25">
      <c r="A11672" t="s">
        <v>704</v>
      </c>
      <c r="B11672" t="s">
        <v>625</v>
      </c>
      <c r="C11672" s="2">
        <f>HYPERLINK("https://sao.dolgi.msk.ru/account/1404290109/", 1404290109)</f>
        <v>1404290109</v>
      </c>
      <c r="D11672">
        <v>922.87</v>
      </c>
    </row>
    <row r="11673" spans="1:4" hidden="1" x14ac:dyDescent="0.25">
      <c r="A11673" t="s">
        <v>704</v>
      </c>
      <c r="B11673" t="s">
        <v>626</v>
      </c>
      <c r="C11673" s="2">
        <f>HYPERLINK("https://sao.dolgi.msk.ru/account/1404291494/", 1404291494)</f>
        <v>1404291494</v>
      </c>
      <c r="D11673">
        <v>0</v>
      </c>
    </row>
    <row r="11674" spans="1:4" hidden="1" x14ac:dyDescent="0.25">
      <c r="A11674" t="s">
        <v>704</v>
      </c>
      <c r="B11674" t="s">
        <v>627</v>
      </c>
      <c r="C11674" s="2">
        <f>HYPERLINK("https://sao.dolgi.msk.ru/account/1404286142/", 1404286142)</f>
        <v>1404286142</v>
      </c>
      <c r="D11674">
        <v>-8028.02</v>
      </c>
    </row>
    <row r="11675" spans="1:4" hidden="1" x14ac:dyDescent="0.25">
      <c r="A11675" t="s">
        <v>704</v>
      </c>
      <c r="B11675" t="s">
        <v>628</v>
      </c>
      <c r="C11675" s="2">
        <f>HYPERLINK("https://sao.dolgi.msk.ru/account/1404290336/", 1404290336)</f>
        <v>1404290336</v>
      </c>
      <c r="D11675">
        <v>-4355.26</v>
      </c>
    </row>
    <row r="11676" spans="1:4" hidden="1" x14ac:dyDescent="0.25">
      <c r="A11676" t="s">
        <v>704</v>
      </c>
      <c r="B11676" t="s">
        <v>629</v>
      </c>
      <c r="C11676" s="2">
        <f>HYPERLINK("https://sao.dolgi.msk.ru/account/1404293465/", 1404293465)</f>
        <v>1404293465</v>
      </c>
      <c r="D11676">
        <v>-60</v>
      </c>
    </row>
    <row r="11677" spans="1:4" x14ac:dyDescent="0.25">
      <c r="A11677" t="s">
        <v>704</v>
      </c>
      <c r="B11677" t="s">
        <v>630</v>
      </c>
      <c r="C11677" s="2">
        <f>HYPERLINK("https://sao.dolgi.msk.ru/account/1404288981/", 1404288981)</f>
        <v>1404288981</v>
      </c>
      <c r="D11677">
        <v>35397.71</v>
      </c>
    </row>
    <row r="11678" spans="1:4" x14ac:dyDescent="0.25">
      <c r="A11678" t="s">
        <v>704</v>
      </c>
      <c r="B11678" t="s">
        <v>631</v>
      </c>
      <c r="C11678" s="2">
        <f>HYPERLINK("https://sao.dolgi.msk.ru/account/1404292534/", 1404292534)</f>
        <v>1404292534</v>
      </c>
      <c r="D11678">
        <v>28795.74</v>
      </c>
    </row>
    <row r="11679" spans="1:4" hidden="1" x14ac:dyDescent="0.25">
      <c r="A11679" t="s">
        <v>704</v>
      </c>
      <c r="B11679" t="s">
        <v>632</v>
      </c>
      <c r="C11679" s="2">
        <f>HYPERLINK("https://sao.dolgi.msk.ru/account/1404287823/", 1404287823)</f>
        <v>1404287823</v>
      </c>
      <c r="D11679">
        <v>-3326.5</v>
      </c>
    </row>
    <row r="11680" spans="1:4" hidden="1" x14ac:dyDescent="0.25">
      <c r="A11680" t="s">
        <v>704</v>
      </c>
      <c r="B11680" t="s">
        <v>633</v>
      </c>
      <c r="C11680" s="2">
        <f>HYPERLINK("https://sao.dolgi.msk.ru/account/1404289888/", 1404289888)</f>
        <v>1404289888</v>
      </c>
      <c r="D11680">
        <v>-5049.95</v>
      </c>
    </row>
    <row r="11681" spans="1:4" hidden="1" x14ac:dyDescent="0.25">
      <c r="A11681" t="s">
        <v>704</v>
      </c>
      <c r="B11681" t="s">
        <v>634</v>
      </c>
      <c r="C11681" s="2">
        <f>HYPERLINK("https://sao.dolgi.msk.ru/account/1404293262/", 1404293262)</f>
        <v>1404293262</v>
      </c>
      <c r="D11681">
        <v>-3422.68</v>
      </c>
    </row>
    <row r="11682" spans="1:4" hidden="1" x14ac:dyDescent="0.25">
      <c r="A11682" t="s">
        <v>704</v>
      </c>
      <c r="B11682" t="s">
        <v>635</v>
      </c>
      <c r="C11682" s="2">
        <f>HYPERLINK("https://sao.dolgi.msk.ru/account/1404292729/", 1404292729)</f>
        <v>1404292729</v>
      </c>
      <c r="D11682">
        <v>-5262.25</v>
      </c>
    </row>
    <row r="11683" spans="1:4" hidden="1" x14ac:dyDescent="0.25">
      <c r="A11683" t="s">
        <v>704</v>
      </c>
      <c r="B11683" t="s">
        <v>636</v>
      </c>
      <c r="C11683" s="2">
        <f>HYPERLINK("https://sao.dolgi.msk.ru/account/1404290395/", 1404290395)</f>
        <v>1404290395</v>
      </c>
      <c r="D11683">
        <v>0</v>
      </c>
    </row>
    <row r="11684" spans="1:4" hidden="1" x14ac:dyDescent="0.25">
      <c r="A11684" t="s">
        <v>704</v>
      </c>
      <c r="B11684" t="s">
        <v>637</v>
      </c>
      <c r="C11684" s="2">
        <f>HYPERLINK("https://sao.dolgi.msk.ru/account/1404291785/", 1404291785)</f>
        <v>1404291785</v>
      </c>
      <c r="D11684">
        <v>-5178.5</v>
      </c>
    </row>
    <row r="11685" spans="1:4" hidden="1" x14ac:dyDescent="0.25">
      <c r="A11685" t="s">
        <v>704</v>
      </c>
      <c r="B11685" t="s">
        <v>638</v>
      </c>
      <c r="C11685" s="2">
        <f>HYPERLINK("https://sao.dolgi.msk.ru/account/1404293369/", 1404293369)</f>
        <v>1404293369</v>
      </c>
      <c r="D11685">
        <v>-7767.44</v>
      </c>
    </row>
    <row r="11686" spans="1:4" hidden="1" x14ac:dyDescent="0.25">
      <c r="A11686" t="s">
        <v>705</v>
      </c>
      <c r="B11686" t="s">
        <v>5</v>
      </c>
      <c r="C11686" s="2">
        <f>HYPERLINK("https://sao.dolgi.msk.ru/account/1404130332/", 1404130332)</f>
        <v>1404130332</v>
      </c>
      <c r="D11686">
        <v>-3662.1</v>
      </c>
    </row>
    <row r="11687" spans="1:4" hidden="1" x14ac:dyDescent="0.25">
      <c r="A11687" t="s">
        <v>705</v>
      </c>
      <c r="B11687" t="s">
        <v>6</v>
      </c>
      <c r="C11687" s="2">
        <f>HYPERLINK("https://sao.dolgi.msk.ru/account/1404130447/", 1404130447)</f>
        <v>1404130447</v>
      </c>
      <c r="D11687">
        <v>-4317.7</v>
      </c>
    </row>
    <row r="11688" spans="1:4" hidden="1" x14ac:dyDescent="0.25">
      <c r="A11688" t="s">
        <v>705</v>
      </c>
      <c r="B11688" t="s">
        <v>7</v>
      </c>
      <c r="C11688" s="2">
        <f>HYPERLINK("https://sao.dolgi.msk.ru/account/1404130156/", 1404130156)</f>
        <v>1404130156</v>
      </c>
      <c r="D11688">
        <v>-3023.42</v>
      </c>
    </row>
    <row r="11689" spans="1:4" hidden="1" x14ac:dyDescent="0.25">
      <c r="A11689" t="s">
        <v>705</v>
      </c>
      <c r="B11689" t="s">
        <v>8</v>
      </c>
      <c r="C11689" s="2">
        <f>HYPERLINK("https://sao.dolgi.msk.ru/account/1404131482/", 1404131482)</f>
        <v>1404131482</v>
      </c>
      <c r="D11689">
        <v>-3408.26</v>
      </c>
    </row>
    <row r="11690" spans="1:4" hidden="1" x14ac:dyDescent="0.25">
      <c r="A11690" t="s">
        <v>705</v>
      </c>
      <c r="B11690" t="s">
        <v>9</v>
      </c>
      <c r="C11690" s="2">
        <f>HYPERLINK("https://sao.dolgi.msk.ru/account/1404131992/", 1404131992)</f>
        <v>1404131992</v>
      </c>
      <c r="D11690">
        <v>-4905.29</v>
      </c>
    </row>
    <row r="11691" spans="1:4" hidden="1" x14ac:dyDescent="0.25">
      <c r="A11691" t="s">
        <v>705</v>
      </c>
      <c r="B11691" t="s">
        <v>10</v>
      </c>
      <c r="C11691" s="2">
        <f>HYPERLINK("https://sao.dolgi.msk.ru/account/1404130244/", 1404130244)</f>
        <v>1404130244</v>
      </c>
      <c r="D11691">
        <v>-7232.37</v>
      </c>
    </row>
    <row r="11692" spans="1:4" hidden="1" x14ac:dyDescent="0.25">
      <c r="A11692" t="s">
        <v>705</v>
      </c>
      <c r="B11692" t="s">
        <v>11</v>
      </c>
      <c r="C11692" s="2">
        <f>HYPERLINK("https://sao.dolgi.msk.ru/account/1404131095/", 1404131095)</f>
        <v>1404131095</v>
      </c>
      <c r="D11692">
        <v>-5697.61</v>
      </c>
    </row>
    <row r="11693" spans="1:4" hidden="1" x14ac:dyDescent="0.25">
      <c r="A11693" t="s">
        <v>705</v>
      </c>
      <c r="B11693" t="s">
        <v>12</v>
      </c>
      <c r="C11693" s="2">
        <f>HYPERLINK("https://sao.dolgi.msk.ru/account/1404131116/", 1404131116)</f>
        <v>1404131116</v>
      </c>
      <c r="D11693">
        <v>0</v>
      </c>
    </row>
    <row r="11694" spans="1:4" x14ac:dyDescent="0.25">
      <c r="A11694" t="s">
        <v>705</v>
      </c>
      <c r="B11694" t="s">
        <v>13</v>
      </c>
      <c r="C11694" s="2">
        <f>HYPERLINK("https://sao.dolgi.msk.ru/account/1404130818/", 1404130818)</f>
        <v>1404130818</v>
      </c>
      <c r="D11694">
        <v>930.62</v>
      </c>
    </row>
    <row r="11695" spans="1:4" hidden="1" x14ac:dyDescent="0.25">
      <c r="A11695" t="s">
        <v>705</v>
      </c>
      <c r="B11695" t="s">
        <v>14</v>
      </c>
      <c r="C11695" s="2">
        <f>HYPERLINK("https://sao.dolgi.msk.ru/account/1404130009/", 1404130009)</f>
        <v>1404130009</v>
      </c>
      <c r="D11695">
        <v>0</v>
      </c>
    </row>
    <row r="11696" spans="1:4" hidden="1" x14ac:dyDescent="0.25">
      <c r="A11696" t="s">
        <v>705</v>
      </c>
      <c r="B11696" t="s">
        <v>15</v>
      </c>
      <c r="C11696" s="2">
        <f>HYPERLINK("https://sao.dolgi.msk.ru/account/1404130877/", 1404130877)</f>
        <v>1404130877</v>
      </c>
      <c r="D11696">
        <v>0</v>
      </c>
    </row>
    <row r="11697" spans="1:4" x14ac:dyDescent="0.25">
      <c r="A11697" t="s">
        <v>705</v>
      </c>
      <c r="B11697" t="s">
        <v>16</v>
      </c>
      <c r="C11697" s="2">
        <f>HYPERLINK("https://sao.dolgi.msk.ru/account/1404130623/", 1404130623)</f>
        <v>1404130623</v>
      </c>
      <c r="D11697">
        <v>7984.06</v>
      </c>
    </row>
    <row r="11698" spans="1:4" hidden="1" x14ac:dyDescent="0.25">
      <c r="A11698" t="s">
        <v>705</v>
      </c>
      <c r="B11698" t="s">
        <v>17</v>
      </c>
      <c r="C11698" s="2">
        <f>HYPERLINK("https://sao.dolgi.msk.ru/account/1404130068/", 1404130068)</f>
        <v>1404130068</v>
      </c>
      <c r="D11698">
        <v>-2071.16</v>
      </c>
    </row>
    <row r="11699" spans="1:4" hidden="1" x14ac:dyDescent="0.25">
      <c r="A11699" t="s">
        <v>705</v>
      </c>
      <c r="B11699" t="s">
        <v>18</v>
      </c>
      <c r="C11699" s="2">
        <f>HYPERLINK("https://sao.dolgi.msk.ru/account/1404131861/", 1404131861)</f>
        <v>1404131861</v>
      </c>
      <c r="D11699">
        <v>-8566.07</v>
      </c>
    </row>
    <row r="11700" spans="1:4" hidden="1" x14ac:dyDescent="0.25">
      <c r="A11700" t="s">
        <v>705</v>
      </c>
      <c r="B11700" t="s">
        <v>19</v>
      </c>
      <c r="C11700" s="2">
        <f>HYPERLINK("https://sao.dolgi.msk.ru/account/1404131685/", 1404131685)</f>
        <v>1404131685</v>
      </c>
      <c r="D11700">
        <v>-5651.28</v>
      </c>
    </row>
    <row r="11701" spans="1:4" hidden="1" x14ac:dyDescent="0.25">
      <c r="A11701" t="s">
        <v>705</v>
      </c>
      <c r="B11701" t="s">
        <v>20</v>
      </c>
      <c r="C11701" s="2">
        <f>HYPERLINK("https://sao.dolgi.msk.ru/account/1404131917/", 1404131917)</f>
        <v>1404131917</v>
      </c>
      <c r="D11701">
        <v>-5231.04</v>
      </c>
    </row>
    <row r="11702" spans="1:4" hidden="1" x14ac:dyDescent="0.25">
      <c r="A11702" t="s">
        <v>705</v>
      </c>
      <c r="B11702" t="s">
        <v>21</v>
      </c>
      <c r="C11702" s="2">
        <f>HYPERLINK("https://sao.dolgi.msk.ru/account/1404130412/", 1404130412)</f>
        <v>1404130412</v>
      </c>
      <c r="D11702">
        <v>0</v>
      </c>
    </row>
    <row r="11703" spans="1:4" x14ac:dyDescent="0.25">
      <c r="A11703" t="s">
        <v>705</v>
      </c>
      <c r="B11703" t="s">
        <v>22</v>
      </c>
      <c r="C11703" s="2">
        <f>HYPERLINK("https://sao.dolgi.msk.ru/account/1404131386/", 1404131386)</f>
        <v>1404131386</v>
      </c>
      <c r="D11703">
        <v>5271.44</v>
      </c>
    </row>
    <row r="11704" spans="1:4" hidden="1" x14ac:dyDescent="0.25">
      <c r="A11704" t="s">
        <v>705</v>
      </c>
      <c r="B11704" t="s">
        <v>23</v>
      </c>
      <c r="C11704" s="2">
        <f>HYPERLINK("https://sao.dolgi.msk.ru/account/1404131167/", 1404131167)</f>
        <v>1404131167</v>
      </c>
      <c r="D11704">
        <v>0</v>
      </c>
    </row>
    <row r="11705" spans="1:4" hidden="1" x14ac:dyDescent="0.25">
      <c r="A11705" t="s">
        <v>705</v>
      </c>
      <c r="B11705" t="s">
        <v>23</v>
      </c>
      <c r="C11705" s="2">
        <f>HYPERLINK("https://sao.dolgi.msk.ru/account/1404131407/", 1404131407)</f>
        <v>1404131407</v>
      </c>
      <c r="D11705">
        <v>-392.94</v>
      </c>
    </row>
    <row r="11706" spans="1:4" hidden="1" x14ac:dyDescent="0.25">
      <c r="A11706" t="s">
        <v>705</v>
      </c>
      <c r="B11706" t="s">
        <v>24</v>
      </c>
      <c r="C11706" s="2">
        <f>HYPERLINK("https://sao.dolgi.msk.ru/account/1404131001/", 1404131001)</f>
        <v>1404131001</v>
      </c>
      <c r="D11706">
        <v>-7119.64</v>
      </c>
    </row>
    <row r="11707" spans="1:4" hidden="1" x14ac:dyDescent="0.25">
      <c r="A11707" t="s">
        <v>705</v>
      </c>
      <c r="B11707" t="s">
        <v>25</v>
      </c>
      <c r="C11707" s="2">
        <f>HYPERLINK("https://sao.dolgi.msk.ru/account/1404131028/", 1404131028)</f>
        <v>1404131028</v>
      </c>
      <c r="D11707">
        <v>0</v>
      </c>
    </row>
    <row r="11708" spans="1:4" hidden="1" x14ac:dyDescent="0.25">
      <c r="A11708" t="s">
        <v>705</v>
      </c>
      <c r="B11708" t="s">
        <v>26</v>
      </c>
      <c r="C11708" s="2">
        <f>HYPERLINK("https://sao.dolgi.msk.ru/account/1404130121/", 1404130121)</f>
        <v>1404130121</v>
      </c>
      <c r="D11708">
        <v>-4134.12</v>
      </c>
    </row>
    <row r="11709" spans="1:4" hidden="1" x14ac:dyDescent="0.25">
      <c r="A11709" t="s">
        <v>705</v>
      </c>
      <c r="B11709" t="s">
        <v>27</v>
      </c>
      <c r="C11709" s="2">
        <f>HYPERLINK("https://sao.dolgi.msk.ru/account/1404131036/", 1404131036)</f>
        <v>1404131036</v>
      </c>
      <c r="D11709">
        <v>0</v>
      </c>
    </row>
    <row r="11710" spans="1:4" hidden="1" x14ac:dyDescent="0.25">
      <c r="A11710" t="s">
        <v>705</v>
      </c>
      <c r="B11710" t="s">
        <v>28</v>
      </c>
      <c r="C11710" s="2">
        <f>HYPERLINK("https://sao.dolgi.msk.ru/account/1404130738/", 1404130738)</f>
        <v>1404130738</v>
      </c>
      <c r="D11710">
        <v>-7110.38</v>
      </c>
    </row>
    <row r="11711" spans="1:4" hidden="1" x14ac:dyDescent="0.25">
      <c r="A11711" t="s">
        <v>705</v>
      </c>
      <c r="B11711" t="s">
        <v>29</v>
      </c>
      <c r="C11711" s="2">
        <f>HYPERLINK("https://sao.dolgi.msk.ru/account/1404130148/", 1404130148)</f>
        <v>1404130148</v>
      </c>
      <c r="D11711">
        <v>-343.4</v>
      </c>
    </row>
    <row r="11712" spans="1:4" x14ac:dyDescent="0.25">
      <c r="A11712" t="s">
        <v>705</v>
      </c>
      <c r="B11712" t="s">
        <v>30</v>
      </c>
      <c r="C11712" s="2">
        <f>HYPERLINK("https://sao.dolgi.msk.ru/account/1404131933/", 1404131933)</f>
        <v>1404131933</v>
      </c>
      <c r="D11712">
        <v>23691.67</v>
      </c>
    </row>
    <row r="11713" spans="1:4" hidden="1" x14ac:dyDescent="0.25">
      <c r="A11713" t="s">
        <v>705</v>
      </c>
      <c r="B11713" t="s">
        <v>31</v>
      </c>
      <c r="C11713" s="2">
        <f>HYPERLINK("https://sao.dolgi.msk.ru/account/1404131415/", 1404131415)</f>
        <v>1404131415</v>
      </c>
      <c r="D11713">
        <v>-6290.75</v>
      </c>
    </row>
    <row r="11714" spans="1:4" hidden="1" x14ac:dyDescent="0.25">
      <c r="A11714" t="s">
        <v>705</v>
      </c>
      <c r="B11714" t="s">
        <v>32</v>
      </c>
      <c r="C11714" s="2">
        <f>HYPERLINK("https://sao.dolgi.msk.ru/account/1404130455/", 1404130455)</f>
        <v>1404130455</v>
      </c>
      <c r="D11714">
        <v>0</v>
      </c>
    </row>
    <row r="11715" spans="1:4" x14ac:dyDescent="0.25">
      <c r="A11715" t="s">
        <v>705</v>
      </c>
      <c r="B11715" t="s">
        <v>33</v>
      </c>
      <c r="C11715" s="2">
        <f>HYPERLINK("https://sao.dolgi.msk.ru/account/1404130463/", 1404130463)</f>
        <v>1404130463</v>
      </c>
      <c r="D11715">
        <v>176980.23</v>
      </c>
    </row>
    <row r="11716" spans="1:4" hidden="1" x14ac:dyDescent="0.25">
      <c r="A11716" t="s">
        <v>705</v>
      </c>
      <c r="B11716" t="s">
        <v>34</v>
      </c>
      <c r="C11716" s="2">
        <f>HYPERLINK("https://sao.dolgi.msk.ru/account/1404131941/", 1404131941)</f>
        <v>1404131941</v>
      </c>
      <c r="D11716">
        <v>0</v>
      </c>
    </row>
    <row r="11717" spans="1:4" hidden="1" x14ac:dyDescent="0.25">
      <c r="A11717" t="s">
        <v>705</v>
      </c>
      <c r="B11717" t="s">
        <v>35</v>
      </c>
      <c r="C11717" s="2">
        <f>HYPERLINK("https://sao.dolgi.msk.ru/account/1404130471/", 1404130471)</f>
        <v>1404130471</v>
      </c>
      <c r="D11717">
        <v>-1223.0999999999999</v>
      </c>
    </row>
    <row r="11718" spans="1:4" hidden="1" x14ac:dyDescent="0.25">
      <c r="A11718" t="s">
        <v>705</v>
      </c>
      <c r="B11718" t="s">
        <v>35</v>
      </c>
      <c r="C11718" s="2">
        <f>HYPERLINK("https://sao.dolgi.msk.ru/account/1404131423/", 1404131423)</f>
        <v>1404131423</v>
      </c>
      <c r="D11718">
        <v>-6880.92</v>
      </c>
    </row>
    <row r="11719" spans="1:4" hidden="1" x14ac:dyDescent="0.25">
      <c r="A11719" t="s">
        <v>705</v>
      </c>
      <c r="B11719" t="s">
        <v>36</v>
      </c>
      <c r="C11719" s="2">
        <f>HYPERLINK("https://sao.dolgi.msk.ru/account/1404131431/", 1404131431)</f>
        <v>1404131431</v>
      </c>
      <c r="D11719">
        <v>-7741.24</v>
      </c>
    </row>
    <row r="11720" spans="1:4" hidden="1" x14ac:dyDescent="0.25">
      <c r="A11720" t="s">
        <v>705</v>
      </c>
      <c r="B11720" t="s">
        <v>37</v>
      </c>
      <c r="C11720" s="2">
        <f>HYPERLINK("https://sao.dolgi.msk.ru/account/1404129841/", 1404129841)</f>
        <v>1404129841</v>
      </c>
      <c r="D11720">
        <v>-4267.53</v>
      </c>
    </row>
    <row r="11721" spans="1:4" hidden="1" x14ac:dyDescent="0.25">
      <c r="A11721" t="s">
        <v>705</v>
      </c>
      <c r="B11721" t="s">
        <v>38</v>
      </c>
      <c r="C11721" s="2">
        <f>HYPERLINK("https://sao.dolgi.msk.ru/account/1404131458/", 1404131458)</f>
        <v>1404131458</v>
      </c>
      <c r="D11721">
        <v>-5199.71</v>
      </c>
    </row>
    <row r="11722" spans="1:4" hidden="1" x14ac:dyDescent="0.25">
      <c r="A11722" t="s">
        <v>705</v>
      </c>
      <c r="B11722" t="s">
        <v>39</v>
      </c>
      <c r="C11722" s="2">
        <f>HYPERLINK("https://sao.dolgi.msk.ru/account/1404131968/", 1404131968)</f>
        <v>1404131968</v>
      </c>
      <c r="D11722">
        <v>-3469.24</v>
      </c>
    </row>
    <row r="11723" spans="1:4" hidden="1" x14ac:dyDescent="0.25">
      <c r="A11723" t="s">
        <v>705</v>
      </c>
      <c r="B11723" t="s">
        <v>40</v>
      </c>
      <c r="C11723" s="2">
        <f>HYPERLINK("https://sao.dolgi.msk.ru/account/1404131044/", 1404131044)</f>
        <v>1404131044</v>
      </c>
      <c r="D11723">
        <v>0</v>
      </c>
    </row>
    <row r="11724" spans="1:4" hidden="1" x14ac:dyDescent="0.25">
      <c r="A11724" t="s">
        <v>705</v>
      </c>
      <c r="B11724" t="s">
        <v>41</v>
      </c>
      <c r="C11724" s="2">
        <f>HYPERLINK("https://sao.dolgi.msk.ru/account/1404131466/", 1404131466)</f>
        <v>1404131466</v>
      </c>
      <c r="D11724">
        <v>-2460.2199999999998</v>
      </c>
    </row>
    <row r="11725" spans="1:4" hidden="1" x14ac:dyDescent="0.25">
      <c r="A11725" t="s">
        <v>705</v>
      </c>
      <c r="B11725" t="s">
        <v>42</v>
      </c>
      <c r="C11725" s="2">
        <f>HYPERLINK("https://sao.dolgi.msk.ru/account/1404131052/", 1404131052)</f>
        <v>1404131052</v>
      </c>
      <c r="D11725">
        <v>-5878.45</v>
      </c>
    </row>
    <row r="11726" spans="1:4" hidden="1" x14ac:dyDescent="0.25">
      <c r="A11726" t="s">
        <v>705</v>
      </c>
      <c r="B11726" t="s">
        <v>43</v>
      </c>
      <c r="C11726" s="2">
        <f>HYPERLINK("https://sao.dolgi.msk.ru/account/1404131474/", 1404131474)</f>
        <v>1404131474</v>
      </c>
      <c r="D11726">
        <v>-8017.08</v>
      </c>
    </row>
    <row r="11727" spans="1:4" hidden="1" x14ac:dyDescent="0.25">
      <c r="A11727" t="s">
        <v>705</v>
      </c>
      <c r="B11727" t="s">
        <v>44</v>
      </c>
      <c r="C11727" s="2">
        <f>HYPERLINK("https://sao.dolgi.msk.ru/account/1404131722/", 1404131722)</f>
        <v>1404131722</v>
      </c>
      <c r="D11727">
        <v>-1154.0999999999999</v>
      </c>
    </row>
    <row r="11728" spans="1:4" hidden="1" x14ac:dyDescent="0.25">
      <c r="A11728" t="s">
        <v>705</v>
      </c>
      <c r="B11728" t="s">
        <v>45</v>
      </c>
      <c r="C11728" s="2">
        <f>HYPERLINK("https://sao.dolgi.msk.ru/account/1404129868/", 1404129868)</f>
        <v>1404129868</v>
      </c>
      <c r="D11728">
        <v>-3740.18</v>
      </c>
    </row>
    <row r="11729" spans="1:4" x14ac:dyDescent="0.25">
      <c r="A11729" t="s">
        <v>705</v>
      </c>
      <c r="B11729" t="s">
        <v>46</v>
      </c>
      <c r="C11729" s="2">
        <f>HYPERLINK("https://sao.dolgi.msk.ru/account/1404130498/", 1404130498)</f>
        <v>1404130498</v>
      </c>
      <c r="D11729">
        <v>2847.84</v>
      </c>
    </row>
    <row r="11730" spans="1:4" hidden="1" x14ac:dyDescent="0.25">
      <c r="A11730" t="s">
        <v>705</v>
      </c>
      <c r="B11730" t="s">
        <v>47</v>
      </c>
      <c r="C11730" s="2">
        <f>HYPERLINK("https://sao.dolgi.msk.ru/account/1404130164/", 1404130164)</f>
        <v>1404130164</v>
      </c>
      <c r="D11730">
        <v>-9324.58</v>
      </c>
    </row>
    <row r="11731" spans="1:4" hidden="1" x14ac:dyDescent="0.25">
      <c r="A11731" t="s">
        <v>705</v>
      </c>
      <c r="B11731" t="s">
        <v>48</v>
      </c>
      <c r="C11731" s="2">
        <f>HYPERLINK("https://sao.dolgi.msk.ru/account/1404130172/", 1404130172)</f>
        <v>1404130172</v>
      </c>
      <c r="D11731">
        <v>-7654.7</v>
      </c>
    </row>
    <row r="11732" spans="1:4" hidden="1" x14ac:dyDescent="0.25">
      <c r="A11732" t="s">
        <v>705</v>
      </c>
      <c r="B11732" t="s">
        <v>49</v>
      </c>
      <c r="C11732" s="2">
        <f>HYPERLINK("https://sao.dolgi.msk.ru/account/1404129876/", 1404129876)</f>
        <v>1404129876</v>
      </c>
      <c r="D11732">
        <v>0</v>
      </c>
    </row>
    <row r="11733" spans="1:4" x14ac:dyDescent="0.25">
      <c r="A11733" t="s">
        <v>705</v>
      </c>
      <c r="B11733" t="s">
        <v>50</v>
      </c>
      <c r="C11733" s="2">
        <f>HYPERLINK("https://sao.dolgi.msk.ru/account/1404130199/", 1404130199)</f>
        <v>1404130199</v>
      </c>
      <c r="D11733">
        <v>8179.62</v>
      </c>
    </row>
    <row r="11734" spans="1:4" x14ac:dyDescent="0.25">
      <c r="A11734" t="s">
        <v>705</v>
      </c>
      <c r="B11734" t="s">
        <v>51</v>
      </c>
      <c r="C11734" s="2">
        <f>HYPERLINK("https://sao.dolgi.msk.ru/account/1404131976/", 1404131976)</f>
        <v>1404131976</v>
      </c>
      <c r="D11734">
        <v>53374.44</v>
      </c>
    </row>
    <row r="11735" spans="1:4" hidden="1" x14ac:dyDescent="0.25">
      <c r="A11735" t="s">
        <v>705</v>
      </c>
      <c r="B11735" t="s">
        <v>52</v>
      </c>
      <c r="C11735" s="2">
        <f>HYPERLINK("https://sao.dolgi.msk.ru/account/1404131984/", 1404131984)</f>
        <v>1404131984</v>
      </c>
      <c r="D11735">
        <v>0</v>
      </c>
    </row>
    <row r="11736" spans="1:4" hidden="1" x14ac:dyDescent="0.25">
      <c r="A11736" t="s">
        <v>705</v>
      </c>
      <c r="B11736" t="s">
        <v>53</v>
      </c>
      <c r="C11736" s="2">
        <f>HYPERLINK("https://sao.dolgi.msk.ru/account/1404130519/", 1404130519)</f>
        <v>1404130519</v>
      </c>
      <c r="D11736">
        <v>-7813.64</v>
      </c>
    </row>
    <row r="11737" spans="1:4" hidden="1" x14ac:dyDescent="0.25">
      <c r="A11737" t="s">
        <v>705</v>
      </c>
      <c r="B11737" t="s">
        <v>54</v>
      </c>
      <c r="C11737" s="2">
        <f>HYPERLINK("https://sao.dolgi.msk.ru/account/1404130201/", 1404130201)</f>
        <v>1404130201</v>
      </c>
      <c r="D11737">
        <v>-1306.82</v>
      </c>
    </row>
    <row r="11738" spans="1:4" hidden="1" x14ac:dyDescent="0.25">
      <c r="A11738" t="s">
        <v>705</v>
      </c>
      <c r="B11738" t="s">
        <v>54</v>
      </c>
      <c r="C11738" s="2">
        <f>HYPERLINK("https://sao.dolgi.msk.ru/account/1404130834/", 1404130834)</f>
        <v>1404130834</v>
      </c>
      <c r="D11738">
        <v>-3315.09</v>
      </c>
    </row>
    <row r="11739" spans="1:4" hidden="1" x14ac:dyDescent="0.25">
      <c r="A11739" t="s">
        <v>705</v>
      </c>
      <c r="B11739" t="s">
        <v>55</v>
      </c>
      <c r="C11739" s="2">
        <f>HYPERLINK("https://sao.dolgi.msk.ru/account/1404132004/", 1404132004)</f>
        <v>1404132004</v>
      </c>
      <c r="D11739">
        <v>0</v>
      </c>
    </row>
    <row r="11740" spans="1:4" hidden="1" x14ac:dyDescent="0.25">
      <c r="A11740" t="s">
        <v>705</v>
      </c>
      <c r="B11740" t="s">
        <v>56</v>
      </c>
      <c r="C11740" s="2">
        <f>HYPERLINK("https://sao.dolgi.msk.ru/account/1404130746/", 1404130746)</f>
        <v>1404130746</v>
      </c>
      <c r="D11740">
        <v>-4002.53</v>
      </c>
    </row>
    <row r="11741" spans="1:4" x14ac:dyDescent="0.25">
      <c r="A11741" t="s">
        <v>705</v>
      </c>
      <c r="B11741" t="s">
        <v>57</v>
      </c>
      <c r="C11741" s="2">
        <f>HYPERLINK("https://sao.dolgi.msk.ru/account/1404129884/", 1404129884)</f>
        <v>1404129884</v>
      </c>
      <c r="D11741">
        <v>14914.79</v>
      </c>
    </row>
    <row r="11742" spans="1:4" hidden="1" x14ac:dyDescent="0.25">
      <c r="A11742" t="s">
        <v>705</v>
      </c>
      <c r="B11742" t="s">
        <v>58</v>
      </c>
      <c r="C11742" s="2">
        <f>HYPERLINK("https://sao.dolgi.msk.ru/account/1404130228/", 1404130228)</f>
        <v>1404130228</v>
      </c>
      <c r="D11742">
        <v>-9492.7000000000007</v>
      </c>
    </row>
    <row r="11743" spans="1:4" hidden="1" x14ac:dyDescent="0.25">
      <c r="A11743" t="s">
        <v>705</v>
      </c>
      <c r="B11743" t="s">
        <v>59</v>
      </c>
      <c r="C11743" s="2">
        <f>HYPERLINK("https://sao.dolgi.msk.ru/account/1404131079/", 1404131079)</f>
        <v>1404131079</v>
      </c>
      <c r="D11743">
        <v>0</v>
      </c>
    </row>
    <row r="11744" spans="1:4" hidden="1" x14ac:dyDescent="0.25">
      <c r="A11744" t="s">
        <v>705</v>
      </c>
      <c r="B11744" t="s">
        <v>60</v>
      </c>
      <c r="C11744" s="2">
        <f>HYPERLINK("https://sao.dolgi.msk.ru/account/1404132012/", 1404132012)</f>
        <v>1404132012</v>
      </c>
      <c r="D11744">
        <v>0</v>
      </c>
    </row>
    <row r="11745" spans="1:4" hidden="1" x14ac:dyDescent="0.25">
      <c r="A11745" t="s">
        <v>705</v>
      </c>
      <c r="B11745" t="s">
        <v>61</v>
      </c>
      <c r="C11745" s="2">
        <f>HYPERLINK("https://sao.dolgi.msk.ru/account/1404130236/", 1404130236)</f>
        <v>1404130236</v>
      </c>
      <c r="D11745">
        <v>-8140.56</v>
      </c>
    </row>
    <row r="11746" spans="1:4" hidden="1" x14ac:dyDescent="0.25">
      <c r="A11746" t="s">
        <v>705</v>
      </c>
      <c r="B11746" t="s">
        <v>62</v>
      </c>
      <c r="C11746" s="2">
        <f>HYPERLINK("https://sao.dolgi.msk.ru/account/1404131087/", 1404131087)</f>
        <v>1404131087</v>
      </c>
      <c r="D11746">
        <v>-5681.37</v>
      </c>
    </row>
    <row r="11747" spans="1:4" hidden="1" x14ac:dyDescent="0.25">
      <c r="A11747" t="s">
        <v>705</v>
      </c>
      <c r="B11747" t="s">
        <v>63</v>
      </c>
      <c r="C11747" s="2">
        <f>HYPERLINK("https://sao.dolgi.msk.ru/account/1404129892/", 1404129892)</f>
        <v>1404129892</v>
      </c>
      <c r="D11747">
        <v>-3620.71</v>
      </c>
    </row>
    <row r="11748" spans="1:4" hidden="1" x14ac:dyDescent="0.25">
      <c r="A11748" t="s">
        <v>705</v>
      </c>
      <c r="B11748" t="s">
        <v>64</v>
      </c>
      <c r="C11748" s="2">
        <f>HYPERLINK("https://sao.dolgi.msk.ru/account/1404130252/", 1404130252)</f>
        <v>1404130252</v>
      </c>
      <c r="D11748">
        <v>-9740.8799999999992</v>
      </c>
    </row>
    <row r="11749" spans="1:4" x14ac:dyDescent="0.25">
      <c r="A11749" t="s">
        <v>705</v>
      </c>
      <c r="B11749" t="s">
        <v>65</v>
      </c>
      <c r="C11749" s="2">
        <f>HYPERLINK("https://sao.dolgi.msk.ru/account/1404130279/", 1404130279)</f>
        <v>1404130279</v>
      </c>
      <c r="D11749">
        <v>13676.29</v>
      </c>
    </row>
    <row r="11750" spans="1:4" hidden="1" x14ac:dyDescent="0.25">
      <c r="A11750" t="s">
        <v>705</v>
      </c>
      <c r="B11750" t="s">
        <v>66</v>
      </c>
      <c r="C11750" s="2">
        <f>HYPERLINK("https://sao.dolgi.msk.ru/account/1404129905/", 1404129905)</f>
        <v>1404129905</v>
      </c>
      <c r="D11750">
        <v>-6093.51</v>
      </c>
    </row>
    <row r="11751" spans="1:4" x14ac:dyDescent="0.25">
      <c r="A11751" t="s">
        <v>705</v>
      </c>
      <c r="B11751" t="s">
        <v>67</v>
      </c>
      <c r="C11751" s="2">
        <f>HYPERLINK("https://sao.dolgi.msk.ru/account/1404131503/", 1404131503)</f>
        <v>1404131503</v>
      </c>
      <c r="D11751">
        <v>1473.7</v>
      </c>
    </row>
    <row r="11752" spans="1:4" hidden="1" x14ac:dyDescent="0.25">
      <c r="A11752" t="s">
        <v>705</v>
      </c>
      <c r="B11752" t="s">
        <v>68</v>
      </c>
      <c r="C11752" s="2">
        <f>HYPERLINK("https://sao.dolgi.msk.ru/account/1404131511/", 1404131511)</f>
        <v>1404131511</v>
      </c>
      <c r="D11752">
        <v>0</v>
      </c>
    </row>
    <row r="11753" spans="1:4" hidden="1" x14ac:dyDescent="0.25">
      <c r="A11753" t="s">
        <v>705</v>
      </c>
      <c r="B11753" t="s">
        <v>69</v>
      </c>
      <c r="C11753" s="2">
        <f>HYPERLINK("https://sao.dolgi.msk.ru/account/1404131749/", 1404131749)</f>
        <v>1404131749</v>
      </c>
      <c r="D11753">
        <v>-5357.5</v>
      </c>
    </row>
    <row r="11754" spans="1:4" x14ac:dyDescent="0.25">
      <c r="A11754" t="s">
        <v>705</v>
      </c>
      <c r="B11754" t="s">
        <v>70</v>
      </c>
      <c r="C11754" s="2">
        <f>HYPERLINK("https://sao.dolgi.msk.ru/account/1404129913/", 1404129913)</f>
        <v>1404129913</v>
      </c>
      <c r="D11754">
        <v>6985.42</v>
      </c>
    </row>
    <row r="11755" spans="1:4" hidden="1" x14ac:dyDescent="0.25">
      <c r="A11755" t="s">
        <v>705</v>
      </c>
      <c r="B11755" t="s">
        <v>71</v>
      </c>
      <c r="C11755" s="2">
        <f>HYPERLINK("https://sao.dolgi.msk.ru/account/1404130287/", 1404130287)</f>
        <v>1404130287</v>
      </c>
      <c r="D11755">
        <v>0</v>
      </c>
    </row>
    <row r="11756" spans="1:4" hidden="1" x14ac:dyDescent="0.25">
      <c r="A11756" t="s">
        <v>705</v>
      </c>
      <c r="B11756" t="s">
        <v>72</v>
      </c>
      <c r="C11756" s="2">
        <f>HYPERLINK("https://sao.dolgi.msk.ru/account/1404130754/", 1404130754)</f>
        <v>1404130754</v>
      </c>
      <c r="D11756">
        <v>0</v>
      </c>
    </row>
    <row r="11757" spans="1:4" x14ac:dyDescent="0.25">
      <c r="A11757" t="s">
        <v>705</v>
      </c>
      <c r="B11757" t="s">
        <v>73</v>
      </c>
      <c r="C11757" s="2">
        <f>HYPERLINK("https://sao.dolgi.msk.ru/account/1404130295/", 1404130295)</f>
        <v>1404130295</v>
      </c>
      <c r="D11757">
        <v>26906.87</v>
      </c>
    </row>
    <row r="11758" spans="1:4" hidden="1" x14ac:dyDescent="0.25">
      <c r="A11758" t="s">
        <v>705</v>
      </c>
      <c r="B11758" t="s">
        <v>74</v>
      </c>
      <c r="C11758" s="2">
        <f>HYPERLINK("https://sao.dolgi.msk.ru/account/1404130308/", 1404130308)</f>
        <v>1404130308</v>
      </c>
      <c r="D11758">
        <v>-1684.78</v>
      </c>
    </row>
    <row r="11759" spans="1:4" hidden="1" x14ac:dyDescent="0.25">
      <c r="A11759" t="s">
        <v>705</v>
      </c>
      <c r="B11759" t="s">
        <v>74</v>
      </c>
      <c r="C11759" s="2">
        <f>HYPERLINK("https://sao.dolgi.msk.ru/account/1404131538/", 1404131538)</f>
        <v>1404131538</v>
      </c>
      <c r="D11759">
        <v>-1786.15</v>
      </c>
    </row>
    <row r="11760" spans="1:4" x14ac:dyDescent="0.25">
      <c r="A11760" t="s">
        <v>705</v>
      </c>
      <c r="B11760" t="s">
        <v>75</v>
      </c>
      <c r="C11760" s="2">
        <f>HYPERLINK("https://sao.dolgi.msk.ru/account/1404131757/", 1404131757)</f>
        <v>1404131757</v>
      </c>
      <c r="D11760">
        <v>21953.47</v>
      </c>
    </row>
    <row r="11761" spans="1:4" hidden="1" x14ac:dyDescent="0.25">
      <c r="A11761" t="s">
        <v>705</v>
      </c>
      <c r="B11761" t="s">
        <v>76</v>
      </c>
      <c r="C11761" s="2">
        <f>HYPERLINK("https://sao.dolgi.msk.ru/account/1404129921/", 1404129921)</f>
        <v>1404129921</v>
      </c>
      <c r="D11761">
        <v>-9358.26</v>
      </c>
    </row>
    <row r="11762" spans="1:4" hidden="1" x14ac:dyDescent="0.25">
      <c r="A11762" t="s">
        <v>705</v>
      </c>
      <c r="B11762" t="s">
        <v>77</v>
      </c>
      <c r="C11762" s="2">
        <f>HYPERLINK("https://sao.dolgi.msk.ru/account/1404131546/", 1404131546)</f>
        <v>1404131546</v>
      </c>
      <c r="D11762">
        <v>-8370.93</v>
      </c>
    </row>
    <row r="11763" spans="1:4" hidden="1" x14ac:dyDescent="0.25">
      <c r="A11763" t="s">
        <v>705</v>
      </c>
      <c r="B11763" t="s">
        <v>78</v>
      </c>
      <c r="C11763" s="2">
        <f>HYPERLINK("https://sao.dolgi.msk.ru/account/1404130527/", 1404130527)</f>
        <v>1404130527</v>
      </c>
      <c r="D11763">
        <v>-1016.73</v>
      </c>
    </row>
    <row r="11764" spans="1:4" hidden="1" x14ac:dyDescent="0.25">
      <c r="A11764" t="s">
        <v>705</v>
      </c>
      <c r="B11764" t="s">
        <v>78</v>
      </c>
      <c r="C11764" s="2">
        <f>HYPERLINK("https://sao.dolgi.msk.ru/account/1404131554/", 1404131554)</f>
        <v>1404131554</v>
      </c>
      <c r="D11764">
        <v>-3300.79</v>
      </c>
    </row>
    <row r="11765" spans="1:4" x14ac:dyDescent="0.25">
      <c r="A11765" t="s">
        <v>705</v>
      </c>
      <c r="B11765" t="s">
        <v>79</v>
      </c>
      <c r="C11765" s="2">
        <f>HYPERLINK("https://sao.dolgi.msk.ru/account/1404130762/", 1404130762)</f>
        <v>1404130762</v>
      </c>
      <c r="D11765">
        <v>4470.5600000000004</v>
      </c>
    </row>
    <row r="11766" spans="1:4" hidden="1" x14ac:dyDescent="0.25">
      <c r="A11766" t="s">
        <v>705</v>
      </c>
      <c r="B11766" t="s">
        <v>80</v>
      </c>
      <c r="C11766" s="2">
        <f>HYPERLINK("https://sao.dolgi.msk.ru/account/1404129948/", 1404129948)</f>
        <v>1404129948</v>
      </c>
      <c r="D11766">
        <v>-11881.33</v>
      </c>
    </row>
    <row r="11767" spans="1:4" hidden="1" x14ac:dyDescent="0.25">
      <c r="A11767" t="s">
        <v>705</v>
      </c>
      <c r="B11767" t="s">
        <v>81</v>
      </c>
      <c r="C11767" s="2">
        <f>HYPERLINK("https://sao.dolgi.msk.ru/account/1404130316/", 1404130316)</f>
        <v>1404130316</v>
      </c>
      <c r="D11767">
        <v>-15.01</v>
      </c>
    </row>
    <row r="11768" spans="1:4" hidden="1" x14ac:dyDescent="0.25">
      <c r="A11768" t="s">
        <v>705</v>
      </c>
      <c r="B11768" t="s">
        <v>82</v>
      </c>
      <c r="C11768" s="2">
        <f>HYPERLINK("https://sao.dolgi.msk.ru/account/1404131108/", 1404131108)</f>
        <v>1404131108</v>
      </c>
      <c r="D11768">
        <v>-4041.09</v>
      </c>
    </row>
    <row r="11769" spans="1:4" hidden="1" x14ac:dyDescent="0.25">
      <c r="A11769" t="s">
        <v>705</v>
      </c>
      <c r="B11769" t="s">
        <v>83</v>
      </c>
      <c r="C11769" s="2">
        <f>HYPERLINK("https://sao.dolgi.msk.ru/account/1404130535/", 1404130535)</f>
        <v>1404130535</v>
      </c>
      <c r="D11769">
        <v>-3023.82</v>
      </c>
    </row>
    <row r="11770" spans="1:4" hidden="1" x14ac:dyDescent="0.25">
      <c r="A11770" t="s">
        <v>705</v>
      </c>
      <c r="B11770" t="s">
        <v>84</v>
      </c>
      <c r="C11770" s="2">
        <f>HYPERLINK("https://sao.dolgi.msk.ru/account/1404130543/", 1404130543)</f>
        <v>1404130543</v>
      </c>
      <c r="D11770">
        <v>-5638.17</v>
      </c>
    </row>
    <row r="11771" spans="1:4" hidden="1" x14ac:dyDescent="0.25">
      <c r="A11771" t="s">
        <v>705</v>
      </c>
      <c r="B11771" t="s">
        <v>85</v>
      </c>
      <c r="C11771" s="2">
        <f>HYPERLINK("https://sao.dolgi.msk.ru/account/1404129956/", 1404129956)</f>
        <v>1404129956</v>
      </c>
      <c r="D11771">
        <v>-6440.61</v>
      </c>
    </row>
    <row r="11772" spans="1:4" hidden="1" x14ac:dyDescent="0.25">
      <c r="A11772" t="s">
        <v>705</v>
      </c>
      <c r="B11772" t="s">
        <v>86</v>
      </c>
      <c r="C11772" s="2">
        <f>HYPERLINK("https://sao.dolgi.msk.ru/account/1404130789/", 1404130789)</f>
        <v>1404130789</v>
      </c>
      <c r="D11772">
        <v>0</v>
      </c>
    </row>
    <row r="11773" spans="1:4" hidden="1" x14ac:dyDescent="0.25">
      <c r="A11773" t="s">
        <v>705</v>
      </c>
      <c r="B11773" t="s">
        <v>87</v>
      </c>
      <c r="C11773" s="2">
        <f>HYPERLINK("https://sao.dolgi.msk.ru/account/1404131562/", 1404131562)</f>
        <v>1404131562</v>
      </c>
      <c r="D11773">
        <v>-2735.88</v>
      </c>
    </row>
    <row r="11774" spans="1:4" hidden="1" x14ac:dyDescent="0.25">
      <c r="A11774" t="s">
        <v>705</v>
      </c>
      <c r="B11774" t="s">
        <v>88</v>
      </c>
      <c r="C11774" s="2">
        <f>HYPERLINK("https://sao.dolgi.msk.ru/account/1404130551/", 1404130551)</f>
        <v>1404130551</v>
      </c>
      <c r="D11774">
        <v>0</v>
      </c>
    </row>
    <row r="11775" spans="1:4" x14ac:dyDescent="0.25">
      <c r="A11775" t="s">
        <v>705</v>
      </c>
      <c r="B11775" t="s">
        <v>89</v>
      </c>
      <c r="C11775" s="2">
        <f>HYPERLINK("https://sao.dolgi.msk.ru/account/1404131589/", 1404131589)</f>
        <v>1404131589</v>
      </c>
      <c r="D11775">
        <v>136290.82</v>
      </c>
    </row>
    <row r="11776" spans="1:4" hidden="1" x14ac:dyDescent="0.25">
      <c r="A11776" t="s">
        <v>705</v>
      </c>
      <c r="B11776" t="s">
        <v>90</v>
      </c>
      <c r="C11776" s="2">
        <f>HYPERLINK("https://sao.dolgi.msk.ru/account/1404132039/", 1404132039)</f>
        <v>1404132039</v>
      </c>
      <c r="D11776">
        <v>0</v>
      </c>
    </row>
    <row r="11777" spans="1:4" hidden="1" x14ac:dyDescent="0.25">
      <c r="A11777" t="s">
        <v>705</v>
      </c>
      <c r="B11777" t="s">
        <v>91</v>
      </c>
      <c r="C11777" s="2">
        <f>HYPERLINK("https://sao.dolgi.msk.ru/account/1404130797/", 1404130797)</f>
        <v>1404130797</v>
      </c>
      <c r="D11777">
        <v>-3638.39</v>
      </c>
    </row>
    <row r="11778" spans="1:4" x14ac:dyDescent="0.25">
      <c r="A11778" t="s">
        <v>705</v>
      </c>
      <c r="B11778" t="s">
        <v>92</v>
      </c>
      <c r="C11778" s="2">
        <f>HYPERLINK("https://sao.dolgi.msk.ru/account/1404131597/", 1404131597)</f>
        <v>1404131597</v>
      </c>
      <c r="D11778">
        <v>8359.35</v>
      </c>
    </row>
    <row r="11779" spans="1:4" x14ac:dyDescent="0.25">
      <c r="A11779" t="s">
        <v>705</v>
      </c>
      <c r="B11779" t="s">
        <v>93</v>
      </c>
      <c r="C11779" s="2">
        <f>HYPERLINK("https://sao.dolgi.msk.ru/account/1404129964/", 1404129964)</f>
        <v>1404129964</v>
      </c>
      <c r="D11779">
        <v>11678.5</v>
      </c>
    </row>
    <row r="11780" spans="1:4" hidden="1" x14ac:dyDescent="0.25">
      <c r="A11780" t="s">
        <v>705</v>
      </c>
      <c r="B11780" t="s">
        <v>94</v>
      </c>
      <c r="C11780" s="2">
        <f>HYPERLINK("https://sao.dolgi.msk.ru/account/1404131765/", 1404131765)</f>
        <v>1404131765</v>
      </c>
      <c r="D11780">
        <v>-14269.93</v>
      </c>
    </row>
    <row r="11781" spans="1:4" hidden="1" x14ac:dyDescent="0.25">
      <c r="A11781" t="s">
        <v>705</v>
      </c>
      <c r="B11781" t="s">
        <v>95</v>
      </c>
      <c r="C11781" s="2">
        <f>HYPERLINK("https://sao.dolgi.msk.ru/account/1404130324/", 1404130324)</f>
        <v>1404130324</v>
      </c>
      <c r="D11781">
        <v>-129.9</v>
      </c>
    </row>
    <row r="11782" spans="1:4" hidden="1" x14ac:dyDescent="0.25">
      <c r="A11782" t="s">
        <v>705</v>
      </c>
      <c r="B11782" t="s">
        <v>96</v>
      </c>
      <c r="C11782" s="2">
        <f>HYPERLINK("https://sao.dolgi.msk.ru/account/1404130578/", 1404130578)</f>
        <v>1404130578</v>
      </c>
      <c r="D11782">
        <v>-105.02</v>
      </c>
    </row>
    <row r="11783" spans="1:4" hidden="1" x14ac:dyDescent="0.25">
      <c r="A11783" t="s">
        <v>705</v>
      </c>
      <c r="B11783" t="s">
        <v>97</v>
      </c>
      <c r="C11783" s="2">
        <f>HYPERLINK("https://sao.dolgi.msk.ru/account/1404131124/", 1404131124)</f>
        <v>1404131124</v>
      </c>
      <c r="D11783">
        <v>-7942.13</v>
      </c>
    </row>
    <row r="11784" spans="1:4" hidden="1" x14ac:dyDescent="0.25">
      <c r="A11784" t="s">
        <v>705</v>
      </c>
      <c r="B11784" t="s">
        <v>98</v>
      </c>
      <c r="C11784" s="2">
        <f>HYPERLINK("https://sao.dolgi.msk.ru/account/1404130826/", 1404130826)</f>
        <v>1404130826</v>
      </c>
      <c r="D11784">
        <v>-6275.31</v>
      </c>
    </row>
    <row r="11785" spans="1:4" hidden="1" x14ac:dyDescent="0.25">
      <c r="A11785" t="s">
        <v>705</v>
      </c>
      <c r="B11785" t="s">
        <v>99</v>
      </c>
      <c r="C11785" s="2">
        <f>HYPERLINK("https://sao.dolgi.msk.ru/account/1404131132/", 1404131132)</f>
        <v>1404131132</v>
      </c>
      <c r="D11785">
        <v>0</v>
      </c>
    </row>
    <row r="11786" spans="1:4" hidden="1" x14ac:dyDescent="0.25">
      <c r="A11786" t="s">
        <v>705</v>
      </c>
      <c r="B11786" t="s">
        <v>100</v>
      </c>
      <c r="C11786" s="2">
        <f>HYPERLINK("https://sao.dolgi.msk.ru/account/1404129972/", 1404129972)</f>
        <v>1404129972</v>
      </c>
      <c r="D11786">
        <v>-4949.28</v>
      </c>
    </row>
    <row r="11787" spans="1:4" hidden="1" x14ac:dyDescent="0.25">
      <c r="A11787" t="s">
        <v>705</v>
      </c>
      <c r="B11787" t="s">
        <v>101</v>
      </c>
      <c r="C11787" s="2">
        <f>HYPERLINK("https://sao.dolgi.msk.ru/account/1404130586/", 1404130586)</f>
        <v>1404130586</v>
      </c>
      <c r="D11787">
        <v>-6108.28</v>
      </c>
    </row>
    <row r="11788" spans="1:4" hidden="1" x14ac:dyDescent="0.25">
      <c r="A11788" t="s">
        <v>705</v>
      </c>
      <c r="B11788" t="s">
        <v>102</v>
      </c>
      <c r="C11788" s="2">
        <f>HYPERLINK("https://sao.dolgi.msk.ru/account/1404131159/", 1404131159)</f>
        <v>1404131159</v>
      </c>
      <c r="D11788">
        <v>-6261.35</v>
      </c>
    </row>
    <row r="11789" spans="1:4" hidden="1" x14ac:dyDescent="0.25">
      <c r="A11789" t="s">
        <v>705</v>
      </c>
      <c r="B11789" t="s">
        <v>103</v>
      </c>
      <c r="C11789" s="2">
        <f>HYPERLINK("https://sao.dolgi.msk.ru/account/1404130594/", 1404130594)</f>
        <v>1404130594</v>
      </c>
      <c r="D11789">
        <v>0</v>
      </c>
    </row>
    <row r="11790" spans="1:4" hidden="1" x14ac:dyDescent="0.25">
      <c r="A11790" t="s">
        <v>705</v>
      </c>
      <c r="B11790" t="s">
        <v>104</v>
      </c>
      <c r="C11790" s="2">
        <f>HYPERLINK("https://sao.dolgi.msk.ru/account/1404129649/", 1404129649)</f>
        <v>1404129649</v>
      </c>
      <c r="D11790">
        <v>-6794.04</v>
      </c>
    </row>
    <row r="11791" spans="1:4" hidden="1" x14ac:dyDescent="0.25">
      <c r="A11791" t="s">
        <v>705</v>
      </c>
      <c r="B11791" t="s">
        <v>105</v>
      </c>
      <c r="C11791" s="2">
        <f>HYPERLINK("https://sao.dolgi.msk.ru/account/1404131773/", 1404131773)</f>
        <v>1404131773</v>
      </c>
      <c r="D11791">
        <v>-5721.02</v>
      </c>
    </row>
    <row r="11792" spans="1:4" hidden="1" x14ac:dyDescent="0.25">
      <c r="A11792" t="s">
        <v>705</v>
      </c>
      <c r="B11792" t="s">
        <v>106</v>
      </c>
      <c r="C11792" s="2">
        <f>HYPERLINK("https://sao.dolgi.msk.ru/account/1404130842/", 1404130842)</f>
        <v>1404130842</v>
      </c>
      <c r="D11792">
        <v>-7236.61</v>
      </c>
    </row>
    <row r="11793" spans="1:4" hidden="1" x14ac:dyDescent="0.25">
      <c r="A11793" t="s">
        <v>705</v>
      </c>
      <c r="B11793" t="s">
        <v>107</v>
      </c>
      <c r="C11793" s="2">
        <f>HYPERLINK("https://sao.dolgi.msk.ru/account/1404130869/", 1404130869)</f>
        <v>1404130869</v>
      </c>
      <c r="D11793">
        <v>0</v>
      </c>
    </row>
    <row r="11794" spans="1:4" hidden="1" x14ac:dyDescent="0.25">
      <c r="A11794" t="s">
        <v>705</v>
      </c>
      <c r="B11794" t="s">
        <v>108</v>
      </c>
      <c r="C11794" s="2">
        <f>HYPERLINK("https://sao.dolgi.msk.ru/account/1404130359/", 1404130359)</f>
        <v>1404130359</v>
      </c>
      <c r="D11794">
        <v>-5980.44</v>
      </c>
    </row>
    <row r="11795" spans="1:4" hidden="1" x14ac:dyDescent="0.25">
      <c r="A11795" t="s">
        <v>705</v>
      </c>
      <c r="B11795" t="s">
        <v>109</v>
      </c>
      <c r="C11795" s="2">
        <f>HYPERLINK("https://sao.dolgi.msk.ru/account/1404130017/", 1404130017)</f>
        <v>1404130017</v>
      </c>
      <c r="D11795">
        <v>0</v>
      </c>
    </row>
    <row r="11796" spans="1:4" hidden="1" x14ac:dyDescent="0.25">
      <c r="A11796" t="s">
        <v>705</v>
      </c>
      <c r="B11796" t="s">
        <v>110</v>
      </c>
      <c r="C11796" s="2">
        <f>HYPERLINK("https://sao.dolgi.msk.ru/account/1404131183/", 1404131183)</f>
        <v>1404131183</v>
      </c>
      <c r="D11796">
        <v>-3444.11</v>
      </c>
    </row>
    <row r="11797" spans="1:4" hidden="1" x14ac:dyDescent="0.25">
      <c r="A11797" t="s">
        <v>705</v>
      </c>
      <c r="B11797" t="s">
        <v>111</v>
      </c>
      <c r="C11797" s="2">
        <f>HYPERLINK("https://sao.dolgi.msk.ru/account/1404130367/", 1404130367)</f>
        <v>1404130367</v>
      </c>
      <c r="D11797">
        <v>-5350.34</v>
      </c>
    </row>
    <row r="11798" spans="1:4" hidden="1" x14ac:dyDescent="0.25">
      <c r="A11798" t="s">
        <v>705</v>
      </c>
      <c r="B11798" t="s">
        <v>112</v>
      </c>
      <c r="C11798" s="2">
        <f>HYPERLINK("https://sao.dolgi.msk.ru/account/1404129657/", 1404129657)</f>
        <v>1404129657</v>
      </c>
      <c r="D11798">
        <v>-9997.83</v>
      </c>
    </row>
    <row r="11799" spans="1:4" hidden="1" x14ac:dyDescent="0.25">
      <c r="A11799" t="s">
        <v>705</v>
      </c>
      <c r="B11799" t="s">
        <v>113</v>
      </c>
      <c r="C11799" s="2">
        <f>HYPERLINK("https://sao.dolgi.msk.ru/account/1404131781/", 1404131781)</f>
        <v>1404131781</v>
      </c>
      <c r="D11799">
        <v>-4138.87</v>
      </c>
    </row>
    <row r="11800" spans="1:4" hidden="1" x14ac:dyDescent="0.25">
      <c r="A11800" t="s">
        <v>705</v>
      </c>
      <c r="B11800" t="s">
        <v>114</v>
      </c>
      <c r="C11800" s="2">
        <f>HYPERLINK("https://sao.dolgi.msk.ru/account/1404130615/", 1404130615)</f>
        <v>1404130615</v>
      </c>
      <c r="D11800">
        <v>-4179.26</v>
      </c>
    </row>
    <row r="11801" spans="1:4" hidden="1" x14ac:dyDescent="0.25">
      <c r="A11801" t="s">
        <v>705</v>
      </c>
      <c r="B11801" t="s">
        <v>115</v>
      </c>
      <c r="C11801" s="2">
        <f>HYPERLINK("https://sao.dolgi.msk.ru/account/1404129665/", 1404129665)</f>
        <v>1404129665</v>
      </c>
      <c r="D11801">
        <v>-117.96</v>
      </c>
    </row>
    <row r="11802" spans="1:4" hidden="1" x14ac:dyDescent="0.25">
      <c r="A11802" t="s">
        <v>705</v>
      </c>
      <c r="B11802" t="s">
        <v>116</v>
      </c>
      <c r="C11802" s="2">
        <f>HYPERLINK("https://sao.dolgi.msk.ru/account/1404131618/", 1404131618)</f>
        <v>1404131618</v>
      </c>
      <c r="D11802">
        <v>-1100.97</v>
      </c>
    </row>
    <row r="11803" spans="1:4" hidden="1" x14ac:dyDescent="0.25">
      <c r="A11803" t="s">
        <v>705</v>
      </c>
      <c r="B11803" t="s">
        <v>117</v>
      </c>
      <c r="C11803" s="2">
        <f>HYPERLINK("https://sao.dolgi.msk.ru/account/1404130025/", 1404130025)</f>
        <v>1404130025</v>
      </c>
      <c r="D11803">
        <v>-6518.08</v>
      </c>
    </row>
    <row r="11804" spans="1:4" hidden="1" x14ac:dyDescent="0.25">
      <c r="A11804" t="s">
        <v>705</v>
      </c>
      <c r="B11804" t="s">
        <v>118</v>
      </c>
      <c r="C11804" s="2">
        <f>HYPERLINK("https://sao.dolgi.msk.ru/account/1404130375/", 1404130375)</f>
        <v>1404130375</v>
      </c>
      <c r="D11804">
        <v>0</v>
      </c>
    </row>
    <row r="11805" spans="1:4" hidden="1" x14ac:dyDescent="0.25">
      <c r="A11805" t="s">
        <v>705</v>
      </c>
      <c r="B11805" t="s">
        <v>119</v>
      </c>
      <c r="C11805" s="2">
        <f>HYPERLINK("https://sao.dolgi.msk.ru/account/1404129673/", 1404129673)</f>
        <v>1404129673</v>
      </c>
      <c r="D11805">
        <v>0</v>
      </c>
    </row>
    <row r="11806" spans="1:4" hidden="1" x14ac:dyDescent="0.25">
      <c r="A11806" t="s">
        <v>705</v>
      </c>
      <c r="B11806" t="s">
        <v>120</v>
      </c>
      <c r="C11806" s="2">
        <f>HYPERLINK("https://sao.dolgi.msk.ru/account/1404131626/", 1404131626)</f>
        <v>1404131626</v>
      </c>
      <c r="D11806">
        <v>-4750.08</v>
      </c>
    </row>
    <row r="11807" spans="1:4" hidden="1" x14ac:dyDescent="0.25">
      <c r="A11807" t="s">
        <v>705</v>
      </c>
      <c r="B11807" t="s">
        <v>121</v>
      </c>
      <c r="C11807" s="2">
        <f>HYPERLINK("https://sao.dolgi.msk.ru/account/1404131634/", 1404131634)</f>
        <v>1404131634</v>
      </c>
      <c r="D11807">
        <v>-6509.62</v>
      </c>
    </row>
    <row r="11808" spans="1:4" x14ac:dyDescent="0.25">
      <c r="A11808" t="s">
        <v>705</v>
      </c>
      <c r="B11808" t="s">
        <v>122</v>
      </c>
      <c r="C11808" s="2">
        <f>HYPERLINK("https://sao.dolgi.msk.ru/account/1404131191/", 1404131191)</f>
        <v>1404131191</v>
      </c>
      <c r="D11808">
        <v>11170.21</v>
      </c>
    </row>
    <row r="11809" spans="1:4" hidden="1" x14ac:dyDescent="0.25">
      <c r="A11809" t="s">
        <v>705</v>
      </c>
      <c r="B11809" t="s">
        <v>123</v>
      </c>
      <c r="C11809" s="2">
        <f>HYPERLINK("https://sao.dolgi.msk.ru/account/1404131642/", 1404131642)</f>
        <v>1404131642</v>
      </c>
      <c r="D11809">
        <v>-6103.46</v>
      </c>
    </row>
    <row r="11810" spans="1:4" hidden="1" x14ac:dyDescent="0.25">
      <c r="A11810" t="s">
        <v>705</v>
      </c>
      <c r="B11810" t="s">
        <v>124</v>
      </c>
      <c r="C11810" s="2">
        <f>HYPERLINK("https://sao.dolgi.msk.ru/account/1404131204/", 1404131204)</f>
        <v>1404131204</v>
      </c>
      <c r="D11810">
        <v>-7530.8</v>
      </c>
    </row>
    <row r="11811" spans="1:4" hidden="1" x14ac:dyDescent="0.25">
      <c r="A11811" t="s">
        <v>705</v>
      </c>
      <c r="B11811" t="s">
        <v>125</v>
      </c>
      <c r="C11811" s="2">
        <f>HYPERLINK("https://sao.dolgi.msk.ru/account/1404131802/", 1404131802)</f>
        <v>1404131802</v>
      </c>
      <c r="D11811">
        <v>-6894.2</v>
      </c>
    </row>
    <row r="11812" spans="1:4" x14ac:dyDescent="0.25">
      <c r="A11812" t="s">
        <v>705</v>
      </c>
      <c r="B11812" t="s">
        <v>126</v>
      </c>
      <c r="C11812" s="2">
        <f>HYPERLINK("https://sao.dolgi.msk.ru/account/1404130631/", 1404130631)</f>
        <v>1404130631</v>
      </c>
      <c r="D11812">
        <v>27999.31</v>
      </c>
    </row>
    <row r="11813" spans="1:4" hidden="1" x14ac:dyDescent="0.25">
      <c r="A11813" t="s">
        <v>705</v>
      </c>
      <c r="B11813" t="s">
        <v>127</v>
      </c>
      <c r="C11813" s="2">
        <f>HYPERLINK("https://sao.dolgi.msk.ru/account/1404130033/", 1404130033)</f>
        <v>1404130033</v>
      </c>
      <c r="D11813">
        <v>0</v>
      </c>
    </row>
    <row r="11814" spans="1:4" hidden="1" x14ac:dyDescent="0.25">
      <c r="A11814" t="s">
        <v>705</v>
      </c>
      <c r="B11814" t="s">
        <v>127</v>
      </c>
      <c r="C11814" s="2">
        <f>HYPERLINK("https://sao.dolgi.msk.ru/account/1404293801/", 1404293801)</f>
        <v>1404293801</v>
      </c>
      <c r="D11814">
        <v>-2499.7199999999998</v>
      </c>
    </row>
    <row r="11815" spans="1:4" x14ac:dyDescent="0.25">
      <c r="A11815" t="s">
        <v>705</v>
      </c>
      <c r="B11815" t="s">
        <v>128</v>
      </c>
      <c r="C11815" s="2">
        <f>HYPERLINK("https://sao.dolgi.msk.ru/account/1404130383/", 1404130383)</f>
        <v>1404130383</v>
      </c>
      <c r="D11815">
        <v>6731.4</v>
      </c>
    </row>
    <row r="11816" spans="1:4" hidden="1" x14ac:dyDescent="0.25">
      <c r="A11816" t="s">
        <v>705</v>
      </c>
      <c r="B11816" t="s">
        <v>129</v>
      </c>
      <c r="C11816" s="2">
        <f>HYPERLINK("https://sao.dolgi.msk.ru/account/1404130658/", 1404130658)</f>
        <v>1404130658</v>
      </c>
      <c r="D11816">
        <v>-5289.08</v>
      </c>
    </row>
    <row r="11817" spans="1:4" hidden="1" x14ac:dyDescent="0.25">
      <c r="A11817" t="s">
        <v>705</v>
      </c>
      <c r="B11817" t="s">
        <v>130</v>
      </c>
      <c r="C11817" s="2">
        <f>HYPERLINK("https://sao.dolgi.msk.ru/account/1404131212/", 1404131212)</f>
        <v>1404131212</v>
      </c>
      <c r="D11817">
        <v>-3891.37</v>
      </c>
    </row>
    <row r="11818" spans="1:4" hidden="1" x14ac:dyDescent="0.25">
      <c r="A11818" t="s">
        <v>705</v>
      </c>
      <c r="B11818" t="s">
        <v>131</v>
      </c>
      <c r="C11818" s="2">
        <f>HYPERLINK("https://sao.dolgi.msk.ru/account/1404130041/", 1404130041)</f>
        <v>1404130041</v>
      </c>
      <c r="D11818">
        <v>0</v>
      </c>
    </row>
    <row r="11819" spans="1:4" hidden="1" x14ac:dyDescent="0.25">
      <c r="A11819" t="s">
        <v>705</v>
      </c>
      <c r="B11819" t="s">
        <v>132</v>
      </c>
      <c r="C11819" s="2">
        <f>HYPERLINK("https://sao.dolgi.msk.ru/account/1404131829/", 1404131829)</f>
        <v>1404131829</v>
      </c>
      <c r="D11819">
        <v>-5865.46</v>
      </c>
    </row>
    <row r="11820" spans="1:4" hidden="1" x14ac:dyDescent="0.25">
      <c r="A11820" t="s">
        <v>705</v>
      </c>
      <c r="B11820" t="s">
        <v>133</v>
      </c>
      <c r="C11820" s="2">
        <f>HYPERLINK("https://sao.dolgi.msk.ru/account/1404131837/", 1404131837)</f>
        <v>1404131837</v>
      </c>
      <c r="D11820">
        <v>-9027.98</v>
      </c>
    </row>
    <row r="11821" spans="1:4" hidden="1" x14ac:dyDescent="0.25">
      <c r="A11821" t="s">
        <v>705</v>
      </c>
      <c r="B11821" t="s">
        <v>134</v>
      </c>
      <c r="C11821" s="2">
        <f>HYPERLINK("https://sao.dolgi.msk.ru/account/1404130666/", 1404130666)</f>
        <v>1404130666</v>
      </c>
      <c r="D11821">
        <v>0</v>
      </c>
    </row>
    <row r="11822" spans="1:4" hidden="1" x14ac:dyDescent="0.25">
      <c r="A11822" t="s">
        <v>705</v>
      </c>
      <c r="B11822" t="s">
        <v>135</v>
      </c>
      <c r="C11822" s="2">
        <f>HYPERLINK("https://sao.dolgi.msk.ru/account/1404131669/", 1404131669)</f>
        <v>1404131669</v>
      </c>
      <c r="D11822">
        <v>-6836.03</v>
      </c>
    </row>
    <row r="11823" spans="1:4" hidden="1" x14ac:dyDescent="0.25">
      <c r="A11823" t="s">
        <v>705</v>
      </c>
      <c r="B11823" t="s">
        <v>136</v>
      </c>
      <c r="C11823" s="2">
        <f>HYPERLINK("https://sao.dolgi.msk.ru/account/1404130607/", 1404130607)</f>
        <v>1404130607</v>
      </c>
      <c r="D11823">
        <v>-2170.17</v>
      </c>
    </row>
    <row r="11824" spans="1:4" hidden="1" x14ac:dyDescent="0.25">
      <c r="A11824" t="s">
        <v>705</v>
      </c>
      <c r="B11824" t="s">
        <v>136</v>
      </c>
      <c r="C11824" s="2">
        <f>HYPERLINK("https://sao.dolgi.msk.ru/account/1404131845/", 1404131845)</f>
        <v>1404131845</v>
      </c>
      <c r="D11824">
        <v>-3149.46</v>
      </c>
    </row>
    <row r="11825" spans="1:4" hidden="1" x14ac:dyDescent="0.25">
      <c r="A11825" t="s">
        <v>705</v>
      </c>
      <c r="B11825" t="s">
        <v>137</v>
      </c>
      <c r="C11825" s="2">
        <f>HYPERLINK("https://sao.dolgi.msk.ru/account/1404130885/", 1404130885)</f>
        <v>1404130885</v>
      </c>
      <c r="D11825">
        <v>-7226.66</v>
      </c>
    </row>
    <row r="11826" spans="1:4" hidden="1" x14ac:dyDescent="0.25">
      <c r="A11826" t="s">
        <v>705</v>
      </c>
      <c r="B11826" t="s">
        <v>138</v>
      </c>
      <c r="C11826" s="2">
        <f>HYPERLINK("https://sao.dolgi.msk.ru/account/1404130391/", 1404130391)</f>
        <v>1404130391</v>
      </c>
      <c r="D11826">
        <v>0</v>
      </c>
    </row>
    <row r="11827" spans="1:4" hidden="1" x14ac:dyDescent="0.25">
      <c r="A11827" t="s">
        <v>705</v>
      </c>
      <c r="B11827" t="s">
        <v>139</v>
      </c>
      <c r="C11827" s="2">
        <f>HYPERLINK("https://sao.dolgi.msk.ru/account/1404131853/", 1404131853)</f>
        <v>1404131853</v>
      </c>
      <c r="D11827">
        <v>-5723.72</v>
      </c>
    </row>
    <row r="11828" spans="1:4" x14ac:dyDescent="0.25">
      <c r="A11828" t="s">
        <v>705</v>
      </c>
      <c r="B11828" t="s">
        <v>140</v>
      </c>
      <c r="C11828" s="2">
        <f>HYPERLINK("https://sao.dolgi.msk.ru/account/1404129681/", 1404129681)</f>
        <v>1404129681</v>
      </c>
      <c r="D11828">
        <v>5972.22</v>
      </c>
    </row>
    <row r="11829" spans="1:4" hidden="1" x14ac:dyDescent="0.25">
      <c r="A11829" t="s">
        <v>705</v>
      </c>
      <c r="B11829" t="s">
        <v>141</v>
      </c>
      <c r="C11829" s="2">
        <f>HYPERLINK("https://sao.dolgi.msk.ru/account/1404130893/", 1404130893)</f>
        <v>1404130893</v>
      </c>
      <c r="D11829">
        <v>-7792.43</v>
      </c>
    </row>
    <row r="11830" spans="1:4" hidden="1" x14ac:dyDescent="0.25">
      <c r="A11830" t="s">
        <v>705</v>
      </c>
      <c r="B11830" t="s">
        <v>142</v>
      </c>
      <c r="C11830" s="2">
        <f>HYPERLINK("https://sao.dolgi.msk.ru/account/1404131677/", 1404131677)</f>
        <v>1404131677</v>
      </c>
      <c r="D11830">
        <v>0</v>
      </c>
    </row>
    <row r="11831" spans="1:4" hidden="1" x14ac:dyDescent="0.25">
      <c r="A11831" t="s">
        <v>705</v>
      </c>
      <c r="B11831" t="s">
        <v>143</v>
      </c>
      <c r="C11831" s="2">
        <f>HYPERLINK("https://sao.dolgi.msk.ru/account/1404130674/", 1404130674)</f>
        <v>1404130674</v>
      </c>
      <c r="D11831">
        <v>0</v>
      </c>
    </row>
    <row r="11832" spans="1:4" hidden="1" x14ac:dyDescent="0.25">
      <c r="A11832" t="s">
        <v>705</v>
      </c>
      <c r="B11832" t="s">
        <v>144</v>
      </c>
      <c r="C11832" s="2">
        <f>HYPERLINK("https://sao.dolgi.msk.ru/account/1404131239/", 1404131239)</f>
        <v>1404131239</v>
      </c>
      <c r="D11832">
        <v>-6214.74</v>
      </c>
    </row>
    <row r="11833" spans="1:4" hidden="1" x14ac:dyDescent="0.25">
      <c r="A11833" t="s">
        <v>705</v>
      </c>
      <c r="B11833" t="s">
        <v>145</v>
      </c>
      <c r="C11833" s="2">
        <f>HYPERLINK("https://sao.dolgi.msk.ru/account/1404131888/", 1404131888)</f>
        <v>1404131888</v>
      </c>
      <c r="D11833">
        <v>-441.47</v>
      </c>
    </row>
    <row r="11834" spans="1:4" x14ac:dyDescent="0.25">
      <c r="A11834" t="s">
        <v>705</v>
      </c>
      <c r="B11834" t="s">
        <v>146</v>
      </c>
      <c r="C11834" s="2">
        <f>HYPERLINK("https://sao.dolgi.msk.ru/account/1404130404/", 1404130404)</f>
        <v>1404130404</v>
      </c>
      <c r="D11834">
        <v>248842.91</v>
      </c>
    </row>
    <row r="11835" spans="1:4" hidden="1" x14ac:dyDescent="0.25">
      <c r="A11835" t="s">
        <v>705</v>
      </c>
      <c r="B11835" t="s">
        <v>147</v>
      </c>
      <c r="C11835" s="2">
        <f>HYPERLINK("https://sao.dolgi.msk.ru/account/1404131896/", 1404131896)</f>
        <v>1404131896</v>
      </c>
      <c r="D11835">
        <v>-6182.94</v>
      </c>
    </row>
    <row r="11836" spans="1:4" hidden="1" x14ac:dyDescent="0.25">
      <c r="A11836" t="s">
        <v>705</v>
      </c>
      <c r="B11836" t="s">
        <v>148</v>
      </c>
      <c r="C11836" s="2">
        <f>HYPERLINK("https://sao.dolgi.msk.ru/account/1404129702/", 1404129702)</f>
        <v>1404129702</v>
      </c>
      <c r="D11836">
        <v>-27923.56</v>
      </c>
    </row>
    <row r="11837" spans="1:4" hidden="1" x14ac:dyDescent="0.25">
      <c r="A11837" t="s">
        <v>705</v>
      </c>
      <c r="B11837" t="s">
        <v>149</v>
      </c>
      <c r="C11837" s="2">
        <f>HYPERLINK("https://sao.dolgi.msk.ru/account/1404129729/", 1404129729)</f>
        <v>1404129729</v>
      </c>
      <c r="D11837">
        <v>0</v>
      </c>
    </row>
    <row r="11838" spans="1:4" hidden="1" x14ac:dyDescent="0.25">
      <c r="A11838" t="s">
        <v>705</v>
      </c>
      <c r="B11838" t="s">
        <v>150</v>
      </c>
      <c r="C11838" s="2">
        <f>HYPERLINK("https://sao.dolgi.msk.ru/account/1404130076/", 1404130076)</f>
        <v>1404130076</v>
      </c>
      <c r="D11838">
        <v>-2637.96</v>
      </c>
    </row>
    <row r="11839" spans="1:4" hidden="1" x14ac:dyDescent="0.25">
      <c r="A11839" t="s">
        <v>705</v>
      </c>
      <c r="B11839" t="s">
        <v>151</v>
      </c>
      <c r="C11839" s="2">
        <f>HYPERLINK("https://sao.dolgi.msk.ru/account/1404130906/", 1404130906)</f>
        <v>1404130906</v>
      </c>
      <c r="D11839">
        <v>-4406.83</v>
      </c>
    </row>
    <row r="11840" spans="1:4" hidden="1" x14ac:dyDescent="0.25">
      <c r="A11840" t="s">
        <v>705</v>
      </c>
      <c r="B11840" t="s">
        <v>152</v>
      </c>
      <c r="C11840" s="2">
        <f>HYPERLINK("https://sao.dolgi.msk.ru/account/1404131247/", 1404131247)</f>
        <v>1404131247</v>
      </c>
      <c r="D11840">
        <v>0</v>
      </c>
    </row>
    <row r="11841" spans="1:4" hidden="1" x14ac:dyDescent="0.25">
      <c r="A11841" t="s">
        <v>705</v>
      </c>
      <c r="B11841" t="s">
        <v>153</v>
      </c>
      <c r="C11841" s="2">
        <f>HYPERLINK("https://sao.dolgi.msk.ru/account/1404131255/", 1404131255)</f>
        <v>1404131255</v>
      </c>
      <c r="D11841">
        <v>0</v>
      </c>
    </row>
    <row r="11842" spans="1:4" hidden="1" x14ac:dyDescent="0.25">
      <c r="A11842" t="s">
        <v>705</v>
      </c>
      <c r="B11842" t="s">
        <v>154</v>
      </c>
      <c r="C11842" s="2">
        <f>HYPERLINK("https://sao.dolgi.msk.ru/account/1404129737/", 1404129737)</f>
        <v>1404129737</v>
      </c>
      <c r="D11842">
        <v>-4381.21</v>
      </c>
    </row>
    <row r="11843" spans="1:4" hidden="1" x14ac:dyDescent="0.25">
      <c r="A11843" t="s">
        <v>705</v>
      </c>
      <c r="B11843" t="s">
        <v>155</v>
      </c>
      <c r="C11843" s="2">
        <f>HYPERLINK("https://sao.dolgi.msk.ru/account/1404131693/", 1404131693)</f>
        <v>1404131693</v>
      </c>
      <c r="D11843">
        <v>-2300.92</v>
      </c>
    </row>
    <row r="11844" spans="1:4" hidden="1" x14ac:dyDescent="0.25">
      <c r="A11844" t="s">
        <v>705</v>
      </c>
      <c r="B11844" t="s">
        <v>156</v>
      </c>
      <c r="C11844" s="2">
        <f>HYPERLINK("https://sao.dolgi.msk.ru/account/1404130914/", 1404130914)</f>
        <v>1404130914</v>
      </c>
      <c r="D11844">
        <v>-4497.57</v>
      </c>
    </row>
    <row r="11845" spans="1:4" hidden="1" x14ac:dyDescent="0.25">
      <c r="A11845" t="s">
        <v>705</v>
      </c>
      <c r="B11845" t="s">
        <v>157</v>
      </c>
      <c r="C11845" s="2">
        <f>HYPERLINK("https://sao.dolgi.msk.ru/account/1404130682/", 1404130682)</f>
        <v>1404130682</v>
      </c>
      <c r="D11845">
        <v>0</v>
      </c>
    </row>
    <row r="11846" spans="1:4" hidden="1" x14ac:dyDescent="0.25">
      <c r="A11846" t="s">
        <v>705</v>
      </c>
      <c r="B11846" t="s">
        <v>158</v>
      </c>
      <c r="C11846" s="2">
        <f>HYPERLINK("https://sao.dolgi.msk.ru/account/1404129745/", 1404129745)</f>
        <v>1404129745</v>
      </c>
      <c r="D11846">
        <v>-835.34</v>
      </c>
    </row>
    <row r="11847" spans="1:4" hidden="1" x14ac:dyDescent="0.25">
      <c r="A11847" t="s">
        <v>705</v>
      </c>
      <c r="B11847" t="s">
        <v>159</v>
      </c>
      <c r="C11847" s="2">
        <f>HYPERLINK("https://sao.dolgi.msk.ru/account/1404131909/", 1404131909)</f>
        <v>1404131909</v>
      </c>
      <c r="D11847">
        <v>-5137.42</v>
      </c>
    </row>
    <row r="11848" spans="1:4" x14ac:dyDescent="0.25">
      <c r="A11848" t="s">
        <v>705</v>
      </c>
      <c r="B11848" t="s">
        <v>160</v>
      </c>
      <c r="C11848" s="2">
        <f>HYPERLINK("https://sao.dolgi.msk.ru/account/1404130084/", 1404130084)</f>
        <v>1404130084</v>
      </c>
      <c r="D11848">
        <v>12853</v>
      </c>
    </row>
    <row r="11849" spans="1:4" hidden="1" x14ac:dyDescent="0.25">
      <c r="A11849" t="s">
        <v>705</v>
      </c>
      <c r="B11849" t="s">
        <v>161</v>
      </c>
      <c r="C11849" s="2">
        <f>HYPERLINK("https://sao.dolgi.msk.ru/account/1404129753/", 1404129753)</f>
        <v>1404129753</v>
      </c>
      <c r="D11849">
        <v>0</v>
      </c>
    </row>
    <row r="11850" spans="1:4" hidden="1" x14ac:dyDescent="0.25">
      <c r="A11850" t="s">
        <v>705</v>
      </c>
      <c r="B11850" t="s">
        <v>162</v>
      </c>
      <c r="C11850" s="2">
        <f>HYPERLINK("https://sao.dolgi.msk.ru/account/1404131263/", 1404131263)</f>
        <v>1404131263</v>
      </c>
      <c r="D11850">
        <v>0</v>
      </c>
    </row>
    <row r="11851" spans="1:4" hidden="1" x14ac:dyDescent="0.25">
      <c r="A11851" t="s">
        <v>705</v>
      </c>
      <c r="B11851" t="s">
        <v>163</v>
      </c>
      <c r="C11851" s="2">
        <f>HYPERLINK("https://sao.dolgi.msk.ru/account/1404131271/", 1404131271)</f>
        <v>1404131271</v>
      </c>
      <c r="D11851">
        <v>0</v>
      </c>
    </row>
    <row r="11852" spans="1:4" x14ac:dyDescent="0.25">
      <c r="A11852" t="s">
        <v>705</v>
      </c>
      <c r="B11852" t="s">
        <v>164</v>
      </c>
      <c r="C11852" s="2">
        <f>HYPERLINK("https://sao.dolgi.msk.ru/account/1404131298/", 1404131298)</f>
        <v>1404131298</v>
      </c>
      <c r="D11852">
        <v>5569.25</v>
      </c>
    </row>
    <row r="11853" spans="1:4" hidden="1" x14ac:dyDescent="0.25">
      <c r="A11853" t="s">
        <v>705</v>
      </c>
      <c r="B11853" t="s">
        <v>165</v>
      </c>
      <c r="C11853" s="2">
        <f>HYPERLINK("https://sao.dolgi.msk.ru/account/1404131319/", 1404131319)</f>
        <v>1404131319</v>
      </c>
      <c r="D11853">
        <v>0</v>
      </c>
    </row>
    <row r="11854" spans="1:4" hidden="1" x14ac:dyDescent="0.25">
      <c r="A11854" t="s">
        <v>705</v>
      </c>
      <c r="B11854" t="s">
        <v>166</v>
      </c>
      <c r="C11854" s="2">
        <f>HYPERLINK("https://sao.dolgi.msk.ru/account/1404131327/", 1404131327)</f>
        <v>1404131327</v>
      </c>
      <c r="D11854">
        <v>-1869.83</v>
      </c>
    </row>
    <row r="11855" spans="1:4" hidden="1" x14ac:dyDescent="0.25">
      <c r="A11855" t="s">
        <v>705</v>
      </c>
      <c r="B11855" t="s">
        <v>166</v>
      </c>
      <c r="C11855" s="2">
        <f>HYPERLINK("https://sao.dolgi.msk.ru/account/1404294038/", 1404294038)</f>
        <v>1404294038</v>
      </c>
      <c r="D11855">
        <v>-3733.31</v>
      </c>
    </row>
    <row r="11856" spans="1:4" hidden="1" x14ac:dyDescent="0.25">
      <c r="A11856" t="s">
        <v>705</v>
      </c>
      <c r="B11856" t="s">
        <v>167</v>
      </c>
      <c r="C11856" s="2">
        <f>HYPERLINK("https://sao.dolgi.msk.ru/account/1404130922/", 1404130922)</f>
        <v>1404130922</v>
      </c>
      <c r="D11856">
        <v>-5664.73</v>
      </c>
    </row>
    <row r="11857" spans="1:4" hidden="1" x14ac:dyDescent="0.25">
      <c r="A11857" t="s">
        <v>705</v>
      </c>
      <c r="B11857" t="s">
        <v>168</v>
      </c>
      <c r="C11857" s="2">
        <f>HYPERLINK("https://sao.dolgi.msk.ru/account/1404129761/", 1404129761)</f>
        <v>1404129761</v>
      </c>
      <c r="D11857">
        <v>-4000.56</v>
      </c>
    </row>
    <row r="11858" spans="1:4" x14ac:dyDescent="0.25">
      <c r="A11858" t="s">
        <v>705</v>
      </c>
      <c r="B11858" t="s">
        <v>169</v>
      </c>
      <c r="C11858" s="2">
        <f>HYPERLINK("https://sao.dolgi.msk.ru/account/1404129788/", 1404129788)</f>
        <v>1404129788</v>
      </c>
      <c r="D11858">
        <v>518.75</v>
      </c>
    </row>
    <row r="11859" spans="1:4" hidden="1" x14ac:dyDescent="0.25">
      <c r="A11859" t="s">
        <v>705</v>
      </c>
      <c r="B11859" t="s">
        <v>170</v>
      </c>
      <c r="C11859" s="2">
        <f>HYPERLINK("https://sao.dolgi.msk.ru/account/1404130092/", 1404130092)</f>
        <v>1404130092</v>
      </c>
      <c r="D11859">
        <v>-6322.9</v>
      </c>
    </row>
    <row r="11860" spans="1:4" hidden="1" x14ac:dyDescent="0.25">
      <c r="A11860" t="s">
        <v>705</v>
      </c>
      <c r="B11860" t="s">
        <v>171</v>
      </c>
      <c r="C11860" s="2">
        <f>HYPERLINK("https://sao.dolgi.msk.ru/account/1404129796/", 1404129796)</f>
        <v>1404129796</v>
      </c>
      <c r="D11860">
        <v>0</v>
      </c>
    </row>
    <row r="11861" spans="1:4" hidden="1" x14ac:dyDescent="0.25">
      <c r="A11861" t="s">
        <v>705</v>
      </c>
      <c r="B11861" t="s">
        <v>172</v>
      </c>
      <c r="C11861" s="2">
        <f>HYPERLINK("https://sao.dolgi.msk.ru/account/1404130949/", 1404130949)</f>
        <v>1404130949</v>
      </c>
      <c r="D11861">
        <v>0</v>
      </c>
    </row>
    <row r="11862" spans="1:4" hidden="1" x14ac:dyDescent="0.25">
      <c r="A11862" t="s">
        <v>705</v>
      </c>
      <c r="B11862" t="s">
        <v>173</v>
      </c>
      <c r="C11862" s="2">
        <f>HYPERLINK("https://sao.dolgi.msk.ru/account/1404131335/", 1404131335)</f>
        <v>1404131335</v>
      </c>
      <c r="D11862">
        <v>-6215.39</v>
      </c>
    </row>
    <row r="11863" spans="1:4" hidden="1" x14ac:dyDescent="0.25">
      <c r="A11863" t="s">
        <v>705</v>
      </c>
      <c r="B11863" t="s">
        <v>174</v>
      </c>
      <c r="C11863" s="2">
        <f>HYPERLINK("https://sao.dolgi.msk.ru/account/1404131343/", 1404131343)</f>
        <v>1404131343</v>
      </c>
      <c r="D11863">
        <v>-5077.33</v>
      </c>
    </row>
    <row r="11864" spans="1:4" hidden="1" x14ac:dyDescent="0.25">
      <c r="A11864" t="s">
        <v>705</v>
      </c>
      <c r="B11864" t="s">
        <v>175</v>
      </c>
      <c r="C11864" s="2">
        <f>HYPERLINK("https://sao.dolgi.msk.ru/account/1404131351/", 1404131351)</f>
        <v>1404131351</v>
      </c>
      <c r="D11864">
        <v>0</v>
      </c>
    </row>
    <row r="11865" spans="1:4" hidden="1" x14ac:dyDescent="0.25">
      <c r="A11865" t="s">
        <v>705</v>
      </c>
      <c r="B11865" t="s">
        <v>176</v>
      </c>
      <c r="C11865" s="2">
        <f>HYPERLINK("https://sao.dolgi.msk.ru/account/1404130439/", 1404130439)</f>
        <v>1404130439</v>
      </c>
      <c r="D11865">
        <v>-3853.03</v>
      </c>
    </row>
    <row r="11866" spans="1:4" hidden="1" x14ac:dyDescent="0.25">
      <c r="A11866" t="s">
        <v>705</v>
      </c>
      <c r="B11866" t="s">
        <v>177</v>
      </c>
      <c r="C11866" s="2">
        <f>HYPERLINK("https://sao.dolgi.msk.ru/account/1404129809/", 1404129809)</f>
        <v>1404129809</v>
      </c>
      <c r="D11866">
        <v>-9235.2800000000007</v>
      </c>
    </row>
    <row r="11867" spans="1:4" hidden="1" x14ac:dyDescent="0.25">
      <c r="A11867" t="s">
        <v>705</v>
      </c>
      <c r="B11867" t="s">
        <v>178</v>
      </c>
      <c r="C11867" s="2">
        <f>HYPERLINK("https://sao.dolgi.msk.ru/account/1404131378/", 1404131378)</f>
        <v>1404131378</v>
      </c>
      <c r="D11867">
        <v>-4471.3900000000003</v>
      </c>
    </row>
    <row r="11868" spans="1:4" hidden="1" x14ac:dyDescent="0.25">
      <c r="A11868" t="s">
        <v>705</v>
      </c>
      <c r="B11868" t="s">
        <v>179</v>
      </c>
      <c r="C11868" s="2">
        <f>HYPERLINK("https://sao.dolgi.msk.ru/account/1404130957/", 1404130957)</f>
        <v>1404130957</v>
      </c>
      <c r="D11868">
        <v>0</v>
      </c>
    </row>
    <row r="11869" spans="1:4" hidden="1" x14ac:dyDescent="0.25">
      <c r="A11869" t="s">
        <v>705</v>
      </c>
      <c r="B11869" t="s">
        <v>180</v>
      </c>
      <c r="C11869" s="2">
        <f>HYPERLINK("https://sao.dolgi.msk.ru/account/1404130965/", 1404130965)</f>
        <v>1404130965</v>
      </c>
      <c r="D11869">
        <v>-3200</v>
      </c>
    </row>
    <row r="11870" spans="1:4" hidden="1" x14ac:dyDescent="0.25">
      <c r="A11870" t="s">
        <v>705</v>
      </c>
      <c r="B11870" t="s">
        <v>181</v>
      </c>
      <c r="C11870" s="2">
        <f>HYPERLINK("https://sao.dolgi.msk.ru/account/1404129999/", 1404129999)</f>
        <v>1404129999</v>
      </c>
      <c r="D11870">
        <v>-7082.01</v>
      </c>
    </row>
    <row r="11871" spans="1:4" hidden="1" x14ac:dyDescent="0.25">
      <c r="A11871" t="s">
        <v>705</v>
      </c>
      <c r="B11871" t="s">
        <v>182</v>
      </c>
      <c r="C11871" s="2">
        <f>HYPERLINK("https://sao.dolgi.msk.ru/account/1404131706/", 1404131706)</f>
        <v>1404131706</v>
      </c>
      <c r="D11871">
        <v>-3636.32</v>
      </c>
    </row>
    <row r="11872" spans="1:4" hidden="1" x14ac:dyDescent="0.25">
      <c r="A11872" t="s">
        <v>705</v>
      </c>
      <c r="B11872" t="s">
        <v>183</v>
      </c>
      <c r="C11872" s="2">
        <f>HYPERLINK("https://sao.dolgi.msk.ru/account/1404130711/", 1404130711)</f>
        <v>1404130711</v>
      </c>
      <c r="D11872">
        <v>-5269.19</v>
      </c>
    </row>
    <row r="11873" spans="1:4" x14ac:dyDescent="0.25">
      <c r="A11873" t="s">
        <v>705</v>
      </c>
      <c r="B11873" t="s">
        <v>184</v>
      </c>
      <c r="C11873" s="2">
        <f>HYPERLINK("https://sao.dolgi.msk.ru/account/1404129817/", 1404129817)</f>
        <v>1404129817</v>
      </c>
      <c r="D11873">
        <v>6608.18</v>
      </c>
    </row>
    <row r="11874" spans="1:4" hidden="1" x14ac:dyDescent="0.25">
      <c r="A11874" t="s">
        <v>705</v>
      </c>
      <c r="B11874" t="s">
        <v>185</v>
      </c>
      <c r="C11874" s="2">
        <f>HYPERLINK("https://sao.dolgi.msk.ru/account/1404131394/", 1404131394)</f>
        <v>1404131394</v>
      </c>
      <c r="D11874">
        <v>-7714.23</v>
      </c>
    </row>
    <row r="11875" spans="1:4" hidden="1" x14ac:dyDescent="0.25">
      <c r="A11875" t="s">
        <v>705</v>
      </c>
      <c r="B11875" t="s">
        <v>186</v>
      </c>
      <c r="C11875" s="2">
        <f>HYPERLINK("https://sao.dolgi.msk.ru/account/1404130973/", 1404130973)</f>
        <v>1404130973</v>
      </c>
      <c r="D11875">
        <v>-6223.56</v>
      </c>
    </row>
    <row r="11876" spans="1:4" hidden="1" x14ac:dyDescent="0.25">
      <c r="A11876" t="s">
        <v>705</v>
      </c>
      <c r="B11876" t="s">
        <v>187</v>
      </c>
      <c r="C11876" s="2">
        <f>HYPERLINK("https://sao.dolgi.msk.ru/account/1404130981/", 1404130981)</f>
        <v>1404130981</v>
      </c>
      <c r="D11876">
        <v>-3468.47</v>
      </c>
    </row>
    <row r="11877" spans="1:4" hidden="1" x14ac:dyDescent="0.25">
      <c r="A11877" t="s">
        <v>705</v>
      </c>
      <c r="B11877" t="s">
        <v>188</v>
      </c>
      <c r="C11877" s="2">
        <f>HYPERLINK("https://sao.dolgi.msk.ru/account/1404130105/", 1404130105)</f>
        <v>1404130105</v>
      </c>
      <c r="D11877">
        <v>-4264.1499999999996</v>
      </c>
    </row>
    <row r="11878" spans="1:4" hidden="1" x14ac:dyDescent="0.25">
      <c r="A11878" t="s">
        <v>705</v>
      </c>
      <c r="B11878" t="s">
        <v>189</v>
      </c>
      <c r="C11878" s="2">
        <f>HYPERLINK("https://sao.dolgi.msk.ru/account/1404131925/", 1404131925)</f>
        <v>1404131925</v>
      </c>
      <c r="D11878">
        <v>-9459.59</v>
      </c>
    </row>
    <row r="11879" spans="1:4" x14ac:dyDescent="0.25">
      <c r="A11879" t="s">
        <v>705</v>
      </c>
      <c r="B11879" t="s">
        <v>190</v>
      </c>
      <c r="C11879" s="2">
        <f>HYPERLINK("https://sao.dolgi.msk.ru/account/1404129825/", 1404129825)</f>
        <v>1404129825</v>
      </c>
      <c r="D11879">
        <v>17759.14</v>
      </c>
    </row>
    <row r="11880" spans="1:4" hidden="1" x14ac:dyDescent="0.25">
      <c r="A11880" t="s">
        <v>705</v>
      </c>
      <c r="B11880" t="s">
        <v>191</v>
      </c>
      <c r="C11880" s="2">
        <f>HYPERLINK("https://sao.dolgi.msk.ru/account/1404130113/", 1404130113)</f>
        <v>1404130113</v>
      </c>
      <c r="D11880">
        <v>-5098.1499999999996</v>
      </c>
    </row>
    <row r="11881" spans="1:4" hidden="1" x14ac:dyDescent="0.25">
      <c r="A11881" t="s">
        <v>705</v>
      </c>
      <c r="B11881" t="s">
        <v>192</v>
      </c>
      <c r="C11881" s="2">
        <f>HYPERLINK("https://sao.dolgi.msk.ru/account/1404131714/", 1404131714)</f>
        <v>1404131714</v>
      </c>
      <c r="D11881">
        <v>0</v>
      </c>
    </row>
    <row r="11882" spans="1:4" hidden="1" x14ac:dyDescent="0.25">
      <c r="A11882" t="s">
        <v>705</v>
      </c>
      <c r="B11882" t="s">
        <v>193</v>
      </c>
      <c r="C11882" s="2">
        <f>HYPERLINK("https://sao.dolgi.msk.ru/account/1404129833/", 1404129833)</f>
        <v>1404129833</v>
      </c>
      <c r="D11882">
        <v>-6305.41</v>
      </c>
    </row>
    <row r="11883" spans="1:4" hidden="1" x14ac:dyDescent="0.25">
      <c r="A11883" t="s">
        <v>706</v>
      </c>
      <c r="B11883" t="s">
        <v>8</v>
      </c>
      <c r="C11883" s="2">
        <f>HYPERLINK("https://sao.dolgi.msk.ru/account/1404202324/", 1404202324)</f>
        <v>1404202324</v>
      </c>
      <c r="D11883">
        <v>0</v>
      </c>
    </row>
    <row r="11884" spans="1:4" hidden="1" x14ac:dyDescent="0.25">
      <c r="A11884" t="s">
        <v>706</v>
      </c>
      <c r="B11884" t="s">
        <v>9</v>
      </c>
      <c r="C11884" s="2">
        <f>HYPERLINK("https://sao.dolgi.msk.ru/account/1404201479/", 1404201479)</f>
        <v>1404201479</v>
      </c>
      <c r="D11884">
        <v>0</v>
      </c>
    </row>
    <row r="11885" spans="1:4" hidden="1" x14ac:dyDescent="0.25">
      <c r="A11885" t="s">
        <v>706</v>
      </c>
      <c r="B11885" t="s">
        <v>10</v>
      </c>
      <c r="C11885" s="2">
        <f>HYPERLINK("https://sao.dolgi.msk.ru/account/1404202439/", 1404202439)</f>
        <v>1404202439</v>
      </c>
      <c r="D11885">
        <v>-4903.4799999999996</v>
      </c>
    </row>
    <row r="11886" spans="1:4" hidden="1" x14ac:dyDescent="0.25">
      <c r="A11886" t="s">
        <v>706</v>
      </c>
      <c r="B11886" t="s">
        <v>11</v>
      </c>
      <c r="C11886" s="2">
        <f>HYPERLINK("https://sao.dolgi.msk.ru/account/1404202121/", 1404202121)</f>
        <v>1404202121</v>
      </c>
      <c r="D11886">
        <v>-5497.04</v>
      </c>
    </row>
    <row r="11887" spans="1:4" hidden="1" x14ac:dyDescent="0.25">
      <c r="A11887" t="s">
        <v>706</v>
      </c>
      <c r="B11887" t="s">
        <v>12</v>
      </c>
      <c r="C11887" s="2">
        <f>HYPERLINK("https://sao.dolgi.msk.ru/account/1404201559/", 1404201559)</f>
        <v>1404201559</v>
      </c>
      <c r="D11887">
        <v>0</v>
      </c>
    </row>
    <row r="11888" spans="1:4" hidden="1" x14ac:dyDescent="0.25">
      <c r="A11888" t="s">
        <v>706</v>
      </c>
      <c r="B11888" t="s">
        <v>13</v>
      </c>
      <c r="C11888" s="2">
        <f>HYPERLINK("https://sao.dolgi.msk.ru/account/1404202199/", 1404202199)</f>
        <v>1404202199</v>
      </c>
      <c r="D11888">
        <v>-5337.65</v>
      </c>
    </row>
    <row r="11889" spans="1:4" hidden="1" x14ac:dyDescent="0.25">
      <c r="A11889" t="s">
        <v>706</v>
      </c>
      <c r="B11889" t="s">
        <v>14</v>
      </c>
      <c r="C11889" s="2">
        <f>HYPERLINK("https://sao.dolgi.msk.ru/account/1404202359/", 1404202359)</f>
        <v>1404202359</v>
      </c>
      <c r="D11889">
        <v>0</v>
      </c>
    </row>
    <row r="11890" spans="1:4" hidden="1" x14ac:dyDescent="0.25">
      <c r="A11890" t="s">
        <v>706</v>
      </c>
      <c r="B11890" t="s">
        <v>15</v>
      </c>
      <c r="C11890" s="2">
        <f>HYPERLINK("https://sao.dolgi.msk.ru/account/1404201946/", 1404201946)</f>
        <v>1404201946</v>
      </c>
      <c r="D11890">
        <v>-4685.24</v>
      </c>
    </row>
    <row r="11891" spans="1:4" x14ac:dyDescent="0.25">
      <c r="A11891" t="s">
        <v>706</v>
      </c>
      <c r="B11891" t="s">
        <v>16</v>
      </c>
      <c r="C11891" s="2">
        <f>HYPERLINK("https://sao.dolgi.msk.ru/account/1404202586/", 1404202586)</f>
        <v>1404202586</v>
      </c>
      <c r="D11891">
        <v>9207.5400000000009</v>
      </c>
    </row>
    <row r="11892" spans="1:4" hidden="1" x14ac:dyDescent="0.25">
      <c r="A11892" t="s">
        <v>706</v>
      </c>
      <c r="B11892" t="s">
        <v>17</v>
      </c>
      <c r="C11892" s="2">
        <f>HYPERLINK("https://sao.dolgi.msk.ru/account/1404202447/", 1404202447)</f>
        <v>1404202447</v>
      </c>
      <c r="D11892">
        <v>-4205.6499999999996</v>
      </c>
    </row>
    <row r="11893" spans="1:4" hidden="1" x14ac:dyDescent="0.25">
      <c r="A11893" t="s">
        <v>706</v>
      </c>
      <c r="B11893" t="s">
        <v>18</v>
      </c>
      <c r="C11893" s="2">
        <f>HYPERLINK("https://sao.dolgi.msk.ru/account/1404202113/", 1404202113)</f>
        <v>1404202113</v>
      </c>
      <c r="D11893">
        <v>-4227.97</v>
      </c>
    </row>
    <row r="11894" spans="1:4" x14ac:dyDescent="0.25">
      <c r="A11894" t="s">
        <v>706</v>
      </c>
      <c r="B11894" t="s">
        <v>19</v>
      </c>
      <c r="C11894" s="2">
        <f>HYPERLINK("https://sao.dolgi.msk.ru/account/1404201698/", 1404201698)</f>
        <v>1404201698</v>
      </c>
      <c r="D11894">
        <v>1486.31</v>
      </c>
    </row>
    <row r="11895" spans="1:4" x14ac:dyDescent="0.25">
      <c r="A11895" t="s">
        <v>706</v>
      </c>
      <c r="B11895" t="s">
        <v>19</v>
      </c>
      <c r="C11895" s="2">
        <f>HYPERLINK("https://sao.dolgi.msk.ru/account/1404202594/", 1404202594)</f>
        <v>1404202594</v>
      </c>
      <c r="D11895">
        <v>4208.1400000000003</v>
      </c>
    </row>
    <row r="11896" spans="1:4" hidden="1" x14ac:dyDescent="0.25">
      <c r="A11896" t="s">
        <v>706</v>
      </c>
      <c r="B11896" t="s">
        <v>20</v>
      </c>
      <c r="C11896" s="2">
        <f>HYPERLINK("https://sao.dolgi.msk.ru/account/1404202367/", 1404202367)</f>
        <v>1404202367</v>
      </c>
      <c r="D11896">
        <v>-5713.21</v>
      </c>
    </row>
    <row r="11897" spans="1:4" x14ac:dyDescent="0.25">
      <c r="A11897" t="s">
        <v>706</v>
      </c>
      <c r="B11897" t="s">
        <v>21</v>
      </c>
      <c r="C11897" s="2">
        <f>HYPERLINK("https://sao.dolgi.msk.ru/account/1404201815/", 1404201815)</f>
        <v>1404201815</v>
      </c>
      <c r="D11897">
        <v>4583.8900000000003</v>
      </c>
    </row>
    <row r="11898" spans="1:4" hidden="1" x14ac:dyDescent="0.25">
      <c r="A11898" t="s">
        <v>706</v>
      </c>
      <c r="B11898" t="s">
        <v>22</v>
      </c>
      <c r="C11898" s="2">
        <f>HYPERLINK("https://sao.dolgi.msk.ru/account/1404201954/", 1404201954)</f>
        <v>1404201954</v>
      </c>
      <c r="D11898">
        <v>0</v>
      </c>
    </row>
    <row r="11899" spans="1:4" hidden="1" x14ac:dyDescent="0.25">
      <c r="A11899" t="s">
        <v>706</v>
      </c>
      <c r="B11899" t="s">
        <v>23</v>
      </c>
      <c r="C11899" s="2">
        <f>HYPERLINK("https://sao.dolgi.msk.ru/account/1404202463/", 1404202463)</f>
        <v>1404202463</v>
      </c>
      <c r="D11899">
        <v>0</v>
      </c>
    </row>
    <row r="11900" spans="1:4" hidden="1" x14ac:dyDescent="0.25">
      <c r="A11900" t="s">
        <v>706</v>
      </c>
      <c r="B11900" t="s">
        <v>24</v>
      </c>
      <c r="C11900" s="2">
        <f>HYPERLINK("https://sao.dolgi.msk.ru/account/1404202156/", 1404202156)</f>
        <v>1404202156</v>
      </c>
      <c r="D11900">
        <v>-6363.13</v>
      </c>
    </row>
    <row r="11901" spans="1:4" hidden="1" x14ac:dyDescent="0.25">
      <c r="A11901" t="s">
        <v>706</v>
      </c>
      <c r="B11901" t="s">
        <v>25</v>
      </c>
      <c r="C11901" s="2">
        <f>HYPERLINK("https://sao.dolgi.msk.ru/account/1404202631/", 1404202631)</f>
        <v>1404202631</v>
      </c>
      <c r="D11901">
        <v>-4219.76</v>
      </c>
    </row>
    <row r="11902" spans="1:4" hidden="1" x14ac:dyDescent="0.25">
      <c r="A11902" t="s">
        <v>706</v>
      </c>
      <c r="B11902" t="s">
        <v>26</v>
      </c>
      <c r="C11902" s="2">
        <f>HYPERLINK("https://sao.dolgi.msk.ru/account/1404202578/", 1404202578)</f>
        <v>1404202578</v>
      </c>
      <c r="D11902">
        <v>0</v>
      </c>
    </row>
    <row r="11903" spans="1:4" x14ac:dyDescent="0.25">
      <c r="A11903" t="s">
        <v>706</v>
      </c>
      <c r="B11903" t="s">
        <v>27</v>
      </c>
      <c r="C11903" s="2">
        <f>HYPERLINK("https://sao.dolgi.msk.ru/account/1404201743/", 1404201743)</f>
        <v>1404201743</v>
      </c>
      <c r="D11903">
        <v>37012.230000000003</v>
      </c>
    </row>
    <row r="11904" spans="1:4" hidden="1" x14ac:dyDescent="0.25">
      <c r="A11904" t="s">
        <v>706</v>
      </c>
      <c r="B11904" t="s">
        <v>28</v>
      </c>
      <c r="C11904" s="2">
        <f>HYPERLINK("https://sao.dolgi.msk.ru/account/1404202658/", 1404202658)</f>
        <v>1404202658</v>
      </c>
      <c r="D11904">
        <v>-8301.1299999999992</v>
      </c>
    </row>
    <row r="11905" spans="1:4" hidden="1" x14ac:dyDescent="0.25">
      <c r="A11905" t="s">
        <v>706</v>
      </c>
      <c r="B11905" t="s">
        <v>29</v>
      </c>
      <c r="C11905" s="2">
        <f>HYPERLINK("https://sao.dolgi.msk.ru/account/1404202164/", 1404202164)</f>
        <v>1404202164</v>
      </c>
      <c r="D11905">
        <v>-3647.79</v>
      </c>
    </row>
    <row r="11906" spans="1:4" hidden="1" x14ac:dyDescent="0.25">
      <c r="A11906" t="s">
        <v>706</v>
      </c>
      <c r="B11906" t="s">
        <v>30</v>
      </c>
      <c r="C11906" s="2">
        <f>HYPERLINK("https://sao.dolgi.msk.ru/account/1404201866/", 1404201866)</f>
        <v>1404201866</v>
      </c>
      <c r="D11906">
        <v>-3095.24</v>
      </c>
    </row>
    <row r="11907" spans="1:4" x14ac:dyDescent="0.25">
      <c r="A11907" t="s">
        <v>706</v>
      </c>
      <c r="B11907" t="s">
        <v>31</v>
      </c>
      <c r="C11907" s="2">
        <f>HYPERLINK("https://sao.dolgi.msk.ru/account/1404201874/", 1404201874)</f>
        <v>1404201874</v>
      </c>
      <c r="D11907">
        <v>761.25</v>
      </c>
    </row>
    <row r="11908" spans="1:4" x14ac:dyDescent="0.25">
      <c r="A11908" t="s">
        <v>706</v>
      </c>
      <c r="B11908" t="s">
        <v>32</v>
      </c>
      <c r="C11908" s="2">
        <f>HYPERLINK("https://sao.dolgi.msk.ru/account/1404201575/", 1404201575)</f>
        <v>1404201575</v>
      </c>
      <c r="D11908">
        <v>1510.44</v>
      </c>
    </row>
    <row r="11909" spans="1:4" hidden="1" x14ac:dyDescent="0.25">
      <c r="A11909" t="s">
        <v>706</v>
      </c>
      <c r="B11909" t="s">
        <v>33</v>
      </c>
      <c r="C11909" s="2">
        <f>HYPERLINK("https://sao.dolgi.msk.ru/account/1404202017/", 1404202017)</f>
        <v>1404202017</v>
      </c>
      <c r="D11909">
        <v>0</v>
      </c>
    </row>
    <row r="11910" spans="1:4" hidden="1" x14ac:dyDescent="0.25">
      <c r="A11910" t="s">
        <v>706</v>
      </c>
      <c r="B11910" t="s">
        <v>34</v>
      </c>
      <c r="C11910" s="2">
        <f>HYPERLINK("https://sao.dolgi.msk.ru/account/1404202404/", 1404202404)</f>
        <v>1404202404</v>
      </c>
      <c r="D11910">
        <v>0</v>
      </c>
    </row>
    <row r="11911" spans="1:4" hidden="1" x14ac:dyDescent="0.25">
      <c r="A11911" t="s">
        <v>706</v>
      </c>
      <c r="B11911" t="s">
        <v>35</v>
      </c>
      <c r="C11911" s="2">
        <f>HYPERLINK("https://sao.dolgi.msk.ru/account/1404201751/", 1404201751)</f>
        <v>1404201751</v>
      </c>
      <c r="D11911">
        <v>-8579.14</v>
      </c>
    </row>
    <row r="11912" spans="1:4" hidden="1" x14ac:dyDescent="0.25">
      <c r="A11912" t="s">
        <v>706</v>
      </c>
      <c r="B11912" t="s">
        <v>36</v>
      </c>
      <c r="C11912" s="2">
        <f>HYPERLINK("https://sao.dolgi.msk.ru/account/1404201671/", 1404201671)</f>
        <v>1404201671</v>
      </c>
      <c r="D11912">
        <v>-2306.6999999999998</v>
      </c>
    </row>
    <row r="11913" spans="1:4" hidden="1" x14ac:dyDescent="0.25">
      <c r="A11913" t="s">
        <v>706</v>
      </c>
      <c r="B11913" t="s">
        <v>36</v>
      </c>
      <c r="C11913" s="2">
        <f>HYPERLINK("https://sao.dolgi.msk.ru/account/1404202666/", 1404202666)</f>
        <v>1404202666</v>
      </c>
      <c r="D11913">
        <v>-4562.29</v>
      </c>
    </row>
    <row r="11914" spans="1:4" x14ac:dyDescent="0.25">
      <c r="A11914" t="s">
        <v>706</v>
      </c>
      <c r="B11914" t="s">
        <v>37</v>
      </c>
      <c r="C11914" s="2">
        <f>HYPERLINK("https://sao.dolgi.msk.ru/account/1404202332/", 1404202332)</f>
        <v>1404202332</v>
      </c>
      <c r="D11914">
        <v>22999.13</v>
      </c>
    </row>
    <row r="11915" spans="1:4" hidden="1" x14ac:dyDescent="0.25">
      <c r="A11915" t="s">
        <v>706</v>
      </c>
      <c r="B11915" t="s">
        <v>38</v>
      </c>
      <c r="C11915" s="2">
        <f>HYPERLINK("https://sao.dolgi.msk.ru/account/1404202105/", 1404202105)</f>
        <v>1404202105</v>
      </c>
      <c r="D11915">
        <v>-3216.55</v>
      </c>
    </row>
    <row r="11916" spans="1:4" hidden="1" x14ac:dyDescent="0.25">
      <c r="A11916" t="s">
        <v>706</v>
      </c>
      <c r="B11916" t="s">
        <v>39</v>
      </c>
      <c r="C11916" s="2">
        <f>HYPERLINK("https://sao.dolgi.msk.ru/account/1404201807/", 1404201807)</f>
        <v>1404201807</v>
      </c>
      <c r="D11916">
        <v>-7954.84</v>
      </c>
    </row>
    <row r="11917" spans="1:4" hidden="1" x14ac:dyDescent="0.25">
      <c r="A11917" t="s">
        <v>706</v>
      </c>
      <c r="B11917" t="s">
        <v>40</v>
      </c>
      <c r="C11917" s="2">
        <f>HYPERLINK("https://sao.dolgi.msk.ru/account/1404201938/", 1404201938)</f>
        <v>1404201938</v>
      </c>
      <c r="D11917">
        <v>-6962.94</v>
      </c>
    </row>
    <row r="11918" spans="1:4" hidden="1" x14ac:dyDescent="0.25">
      <c r="A11918" t="s">
        <v>706</v>
      </c>
      <c r="B11918" t="s">
        <v>41</v>
      </c>
      <c r="C11918" s="2">
        <f>HYPERLINK("https://sao.dolgi.msk.ru/account/1404201663/", 1404201663)</f>
        <v>1404201663</v>
      </c>
      <c r="D11918">
        <v>-3627.36</v>
      </c>
    </row>
    <row r="11919" spans="1:4" x14ac:dyDescent="0.25">
      <c r="A11919" t="s">
        <v>706</v>
      </c>
      <c r="B11919" t="s">
        <v>42</v>
      </c>
      <c r="C11919" s="2">
        <f>HYPERLINK("https://sao.dolgi.msk.ru/account/1404201655/", 1404201655)</f>
        <v>1404201655</v>
      </c>
      <c r="D11919">
        <v>4359.78</v>
      </c>
    </row>
    <row r="11920" spans="1:4" hidden="1" x14ac:dyDescent="0.25">
      <c r="A11920" t="s">
        <v>706</v>
      </c>
      <c r="B11920" t="s">
        <v>43</v>
      </c>
      <c r="C11920" s="2">
        <f>HYPERLINK("https://sao.dolgi.msk.ru/account/1404202076/", 1404202076)</f>
        <v>1404202076</v>
      </c>
      <c r="D11920">
        <v>-8257.39</v>
      </c>
    </row>
    <row r="11921" spans="1:4" hidden="1" x14ac:dyDescent="0.25">
      <c r="A11921" t="s">
        <v>706</v>
      </c>
      <c r="B11921" t="s">
        <v>44</v>
      </c>
      <c r="C11921" s="2">
        <f>HYPERLINK("https://sao.dolgi.msk.ru/account/1404202084/", 1404202084)</f>
        <v>1404202084</v>
      </c>
      <c r="D11921">
        <v>0</v>
      </c>
    </row>
    <row r="11922" spans="1:4" hidden="1" x14ac:dyDescent="0.25">
      <c r="A11922" t="s">
        <v>706</v>
      </c>
      <c r="B11922" t="s">
        <v>44</v>
      </c>
      <c r="C11922" s="2">
        <f>HYPERLINK("https://sao.dolgi.msk.ru/account/1404202244/", 1404202244)</f>
        <v>1404202244</v>
      </c>
      <c r="D11922">
        <v>-1383.75</v>
      </c>
    </row>
    <row r="11923" spans="1:4" x14ac:dyDescent="0.25">
      <c r="A11923" t="s">
        <v>706</v>
      </c>
      <c r="B11923" t="s">
        <v>44</v>
      </c>
      <c r="C11923" s="2">
        <f>HYPERLINK("https://sao.dolgi.msk.ru/account/1404202551/", 1404202551)</f>
        <v>1404202551</v>
      </c>
      <c r="D11923">
        <v>14991.97</v>
      </c>
    </row>
    <row r="11924" spans="1:4" hidden="1" x14ac:dyDescent="0.25">
      <c r="A11924" t="s">
        <v>706</v>
      </c>
      <c r="B11924" t="s">
        <v>45</v>
      </c>
      <c r="C11924" s="2">
        <f>HYPERLINK("https://sao.dolgi.msk.ru/account/1404202068/", 1404202068)</f>
        <v>1404202068</v>
      </c>
      <c r="D11924">
        <v>-4567.43</v>
      </c>
    </row>
    <row r="11925" spans="1:4" hidden="1" x14ac:dyDescent="0.25">
      <c r="A11925" t="s">
        <v>706</v>
      </c>
      <c r="B11925" t="s">
        <v>46</v>
      </c>
      <c r="C11925" s="2">
        <f>HYPERLINK("https://sao.dolgi.msk.ru/account/1404201639/", 1404201639)</f>
        <v>1404201639</v>
      </c>
      <c r="D11925">
        <v>0</v>
      </c>
    </row>
    <row r="11926" spans="1:4" hidden="1" x14ac:dyDescent="0.25">
      <c r="A11926" t="s">
        <v>706</v>
      </c>
      <c r="B11926" t="s">
        <v>47</v>
      </c>
      <c r="C11926" s="2">
        <f>HYPERLINK("https://sao.dolgi.msk.ru/account/1404201647/", 1404201647)</f>
        <v>1404201647</v>
      </c>
      <c r="D11926">
        <v>0</v>
      </c>
    </row>
    <row r="11927" spans="1:4" hidden="1" x14ac:dyDescent="0.25">
      <c r="A11927" t="s">
        <v>706</v>
      </c>
      <c r="B11927" t="s">
        <v>48</v>
      </c>
      <c r="C11927" s="2">
        <f>HYPERLINK("https://sao.dolgi.msk.ru/account/1404201794/", 1404201794)</f>
        <v>1404201794</v>
      </c>
      <c r="D11927">
        <v>-9123.76</v>
      </c>
    </row>
    <row r="11928" spans="1:4" hidden="1" x14ac:dyDescent="0.25">
      <c r="A11928" t="s">
        <v>706</v>
      </c>
      <c r="B11928" t="s">
        <v>49</v>
      </c>
      <c r="C11928" s="2">
        <f>HYPERLINK("https://sao.dolgi.msk.ru/account/1404202308/", 1404202308)</f>
        <v>1404202308</v>
      </c>
      <c r="D11928">
        <v>-4042.62</v>
      </c>
    </row>
    <row r="11929" spans="1:4" hidden="1" x14ac:dyDescent="0.25">
      <c r="A11929" t="s">
        <v>706</v>
      </c>
      <c r="B11929" t="s">
        <v>50</v>
      </c>
      <c r="C11929" s="2">
        <f>HYPERLINK("https://sao.dolgi.msk.ru/account/1404202316/", 1404202316)</f>
        <v>1404202316</v>
      </c>
      <c r="D11929">
        <v>0</v>
      </c>
    </row>
    <row r="11930" spans="1:4" hidden="1" x14ac:dyDescent="0.25">
      <c r="A11930" t="s">
        <v>706</v>
      </c>
      <c r="B11930" t="s">
        <v>51</v>
      </c>
      <c r="C11930" s="2">
        <f>HYPERLINK("https://sao.dolgi.msk.ru/account/1404202527/", 1404202527)</f>
        <v>1404202527</v>
      </c>
      <c r="D11930">
        <v>0</v>
      </c>
    </row>
    <row r="11931" spans="1:4" hidden="1" x14ac:dyDescent="0.25">
      <c r="A11931" t="s">
        <v>706</v>
      </c>
      <c r="B11931" t="s">
        <v>52</v>
      </c>
      <c r="C11931" s="2">
        <f>HYPERLINK("https://sao.dolgi.msk.ru/account/1404202252/", 1404202252)</f>
        <v>1404202252</v>
      </c>
      <c r="D11931">
        <v>-5432.3</v>
      </c>
    </row>
    <row r="11932" spans="1:4" hidden="1" x14ac:dyDescent="0.25">
      <c r="A11932" t="s">
        <v>706</v>
      </c>
      <c r="B11932" t="s">
        <v>53</v>
      </c>
      <c r="C11932" s="2">
        <f>HYPERLINK("https://sao.dolgi.msk.ru/account/1404201604/", 1404201604)</f>
        <v>1404201604</v>
      </c>
      <c r="D11932">
        <v>-4603.79</v>
      </c>
    </row>
    <row r="11933" spans="1:4" hidden="1" x14ac:dyDescent="0.25">
      <c r="A11933" t="s">
        <v>706</v>
      </c>
      <c r="B11933" t="s">
        <v>54</v>
      </c>
      <c r="C11933" s="2">
        <f>HYPERLINK("https://sao.dolgi.msk.ru/account/1404202279/", 1404202279)</f>
        <v>1404202279</v>
      </c>
      <c r="D11933">
        <v>-5658.05</v>
      </c>
    </row>
    <row r="11934" spans="1:4" hidden="1" x14ac:dyDescent="0.25">
      <c r="A11934" t="s">
        <v>706</v>
      </c>
      <c r="B11934" t="s">
        <v>55</v>
      </c>
      <c r="C11934" s="2">
        <f>HYPERLINK("https://sao.dolgi.msk.ru/account/1404202236/", 1404202236)</f>
        <v>1404202236</v>
      </c>
      <c r="D11934">
        <v>0</v>
      </c>
    </row>
    <row r="11935" spans="1:4" hidden="1" x14ac:dyDescent="0.25">
      <c r="A11935" t="s">
        <v>706</v>
      </c>
      <c r="B11935" t="s">
        <v>56</v>
      </c>
      <c r="C11935" s="2">
        <f>HYPERLINK("https://sao.dolgi.msk.ru/account/1404201487/", 1404201487)</f>
        <v>1404201487</v>
      </c>
      <c r="D11935">
        <v>-7259.88</v>
      </c>
    </row>
    <row r="11936" spans="1:4" x14ac:dyDescent="0.25">
      <c r="A11936" t="s">
        <v>706</v>
      </c>
      <c r="B11936" t="s">
        <v>57</v>
      </c>
      <c r="C11936" s="2">
        <f>HYPERLINK("https://sao.dolgi.msk.ru/account/1404202287/", 1404202287)</f>
        <v>1404202287</v>
      </c>
      <c r="D11936">
        <v>32961.949999999997</v>
      </c>
    </row>
    <row r="11937" spans="1:4" hidden="1" x14ac:dyDescent="0.25">
      <c r="A11937" t="s">
        <v>706</v>
      </c>
      <c r="B11937" t="s">
        <v>58</v>
      </c>
      <c r="C11937" s="2">
        <f>HYPERLINK("https://sao.dolgi.msk.ru/account/1404201495/", 1404201495)</f>
        <v>1404201495</v>
      </c>
      <c r="D11937">
        <v>-4499.7700000000004</v>
      </c>
    </row>
    <row r="11938" spans="1:4" x14ac:dyDescent="0.25">
      <c r="A11938" t="s">
        <v>706</v>
      </c>
      <c r="B11938" t="s">
        <v>59</v>
      </c>
      <c r="C11938" s="2">
        <f>HYPERLINK("https://sao.dolgi.msk.ru/account/1404202535/", 1404202535)</f>
        <v>1404202535</v>
      </c>
      <c r="D11938">
        <v>8817.2199999999993</v>
      </c>
    </row>
    <row r="11939" spans="1:4" hidden="1" x14ac:dyDescent="0.25">
      <c r="A11939" t="s">
        <v>706</v>
      </c>
      <c r="B11939" t="s">
        <v>60</v>
      </c>
      <c r="C11939" s="2">
        <f>HYPERLINK("https://sao.dolgi.msk.ru/account/1404202295/", 1404202295)</f>
        <v>1404202295</v>
      </c>
      <c r="D11939">
        <v>0</v>
      </c>
    </row>
    <row r="11940" spans="1:4" hidden="1" x14ac:dyDescent="0.25">
      <c r="A11940" t="s">
        <v>706</v>
      </c>
      <c r="B11940" t="s">
        <v>61</v>
      </c>
      <c r="C11940" s="2">
        <f>HYPERLINK("https://sao.dolgi.msk.ru/account/1404201612/", 1404201612)</f>
        <v>1404201612</v>
      </c>
      <c r="D11940">
        <v>-6654.78</v>
      </c>
    </row>
    <row r="11941" spans="1:4" hidden="1" x14ac:dyDescent="0.25">
      <c r="A11941" t="s">
        <v>706</v>
      </c>
      <c r="B11941" t="s">
        <v>62</v>
      </c>
      <c r="C11941" s="2">
        <f>HYPERLINK("https://sao.dolgi.msk.ru/account/1404202041/", 1404202041)</f>
        <v>1404202041</v>
      </c>
      <c r="D11941">
        <v>-5556.31</v>
      </c>
    </row>
    <row r="11942" spans="1:4" hidden="1" x14ac:dyDescent="0.25">
      <c r="A11942" t="s">
        <v>706</v>
      </c>
      <c r="B11942" t="s">
        <v>63</v>
      </c>
      <c r="C11942" s="2">
        <f>HYPERLINK("https://sao.dolgi.msk.ru/account/1404201903/", 1404201903)</f>
        <v>1404201903</v>
      </c>
      <c r="D11942">
        <v>0</v>
      </c>
    </row>
    <row r="11943" spans="1:4" hidden="1" x14ac:dyDescent="0.25">
      <c r="A11943" t="s">
        <v>706</v>
      </c>
      <c r="B11943" t="s">
        <v>64</v>
      </c>
      <c r="C11943" s="2">
        <f>HYPERLINK("https://sao.dolgi.msk.ru/account/1404201786/", 1404201786)</f>
        <v>1404201786</v>
      </c>
      <c r="D11943">
        <v>-4032.87</v>
      </c>
    </row>
    <row r="11944" spans="1:4" hidden="1" x14ac:dyDescent="0.25">
      <c r="A11944" t="s">
        <v>706</v>
      </c>
      <c r="B11944" t="s">
        <v>65</v>
      </c>
      <c r="C11944" s="2">
        <f>HYPERLINK("https://sao.dolgi.msk.ru/account/1404202543/", 1404202543)</f>
        <v>1404202543</v>
      </c>
      <c r="D11944">
        <v>-9306.08</v>
      </c>
    </row>
    <row r="11945" spans="1:4" hidden="1" x14ac:dyDescent="0.25">
      <c r="A11945" t="s">
        <v>706</v>
      </c>
      <c r="B11945" t="s">
        <v>66</v>
      </c>
      <c r="C11945" s="2">
        <f>HYPERLINK("https://sao.dolgi.msk.ru/account/1404201508/", 1404201508)</f>
        <v>1404201508</v>
      </c>
      <c r="D11945">
        <v>-6825.9</v>
      </c>
    </row>
    <row r="11946" spans="1:4" hidden="1" x14ac:dyDescent="0.25">
      <c r="A11946" t="s">
        <v>706</v>
      </c>
      <c r="B11946" t="s">
        <v>67</v>
      </c>
      <c r="C11946" s="2">
        <f>HYPERLINK("https://sao.dolgi.msk.ru/account/1404201516/", 1404201516)</f>
        <v>1404201516</v>
      </c>
      <c r="D11946">
        <v>-6052.64</v>
      </c>
    </row>
    <row r="11947" spans="1:4" hidden="1" x14ac:dyDescent="0.25">
      <c r="A11947" t="s">
        <v>706</v>
      </c>
      <c r="B11947" t="s">
        <v>68</v>
      </c>
      <c r="C11947" s="2">
        <f>HYPERLINK("https://sao.dolgi.msk.ru/account/1404201911/", 1404201911)</f>
        <v>1404201911</v>
      </c>
      <c r="D11947">
        <v>-6248.17</v>
      </c>
    </row>
    <row r="11948" spans="1:4" hidden="1" x14ac:dyDescent="0.25">
      <c r="A11948" t="s">
        <v>706</v>
      </c>
      <c r="B11948" t="s">
        <v>69</v>
      </c>
      <c r="C11948" s="2">
        <f>HYPERLINK("https://sao.dolgi.msk.ru/account/1404201524/", 1404201524)</f>
        <v>1404201524</v>
      </c>
      <c r="D11948">
        <v>-4156.99</v>
      </c>
    </row>
    <row r="11949" spans="1:4" hidden="1" x14ac:dyDescent="0.25">
      <c r="A11949" t="s">
        <v>706</v>
      </c>
      <c r="B11949" t="s">
        <v>70</v>
      </c>
      <c r="C11949" s="2">
        <f>HYPERLINK("https://sao.dolgi.msk.ru/account/1404202092/", 1404202092)</f>
        <v>1404202092</v>
      </c>
      <c r="D11949">
        <v>-3951.97</v>
      </c>
    </row>
    <row r="11950" spans="1:4" x14ac:dyDescent="0.25">
      <c r="A11950" t="s">
        <v>706</v>
      </c>
      <c r="B11950" t="s">
        <v>71</v>
      </c>
      <c r="C11950" s="2">
        <f>HYPERLINK("https://sao.dolgi.msk.ru/account/1404202607/", 1404202607)</f>
        <v>1404202607</v>
      </c>
      <c r="D11950">
        <v>30703.38</v>
      </c>
    </row>
    <row r="11951" spans="1:4" hidden="1" x14ac:dyDescent="0.25">
      <c r="A11951" t="s">
        <v>706</v>
      </c>
      <c r="B11951" t="s">
        <v>72</v>
      </c>
      <c r="C11951" s="2">
        <f>HYPERLINK("https://sao.dolgi.msk.ru/account/1404201532/", 1404201532)</f>
        <v>1404201532</v>
      </c>
      <c r="D11951">
        <v>0</v>
      </c>
    </row>
    <row r="11952" spans="1:4" hidden="1" x14ac:dyDescent="0.25">
      <c r="A11952" t="s">
        <v>706</v>
      </c>
      <c r="B11952" t="s">
        <v>73</v>
      </c>
      <c r="C11952" s="2">
        <f>HYPERLINK("https://sao.dolgi.msk.ru/account/1404201823/", 1404201823)</f>
        <v>1404201823</v>
      </c>
      <c r="D11952">
        <v>0</v>
      </c>
    </row>
    <row r="11953" spans="1:4" hidden="1" x14ac:dyDescent="0.25">
      <c r="A11953" t="s">
        <v>706</v>
      </c>
      <c r="B11953" t="s">
        <v>74</v>
      </c>
      <c r="C11953" s="2">
        <f>HYPERLINK("https://sao.dolgi.msk.ru/account/1404202375/", 1404202375)</f>
        <v>1404202375</v>
      </c>
      <c r="D11953">
        <v>0</v>
      </c>
    </row>
    <row r="11954" spans="1:4" x14ac:dyDescent="0.25">
      <c r="A11954" t="s">
        <v>706</v>
      </c>
      <c r="B11954" t="s">
        <v>75</v>
      </c>
      <c r="C11954" s="2">
        <f>HYPERLINK("https://sao.dolgi.msk.ru/account/1404202615/", 1404202615)</f>
        <v>1404202615</v>
      </c>
      <c r="D11954">
        <v>9724.48</v>
      </c>
    </row>
    <row r="11955" spans="1:4" hidden="1" x14ac:dyDescent="0.25">
      <c r="A11955" t="s">
        <v>706</v>
      </c>
      <c r="B11955" t="s">
        <v>76</v>
      </c>
      <c r="C11955" s="2">
        <f>HYPERLINK("https://sao.dolgi.msk.ru/account/1404201962/", 1404201962)</f>
        <v>1404201962</v>
      </c>
      <c r="D11955">
        <v>-555.83000000000004</v>
      </c>
    </row>
    <row r="11956" spans="1:4" hidden="1" x14ac:dyDescent="0.25">
      <c r="A11956" t="s">
        <v>706</v>
      </c>
      <c r="B11956" t="s">
        <v>77</v>
      </c>
      <c r="C11956" s="2">
        <f>HYPERLINK("https://sao.dolgi.msk.ru/account/1404201831/", 1404201831)</f>
        <v>1404201831</v>
      </c>
      <c r="D11956">
        <v>-2489.9899999999998</v>
      </c>
    </row>
    <row r="11957" spans="1:4" hidden="1" x14ac:dyDescent="0.25">
      <c r="A11957" t="s">
        <v>706</v>
      </c>
      <c r="B11957" t="s">
        <v>78</v>
      </c>
      <c r="C11957" s="2">
        <f>HYPERLINK("https://sao.dolgi.msk.ru/account/1404201989/", 1404201989)</f>
        <v>1404201989</v>
      </c>
      <c r="D11957">
        <v>-5026.4399999999996</v>
      </c>
    </row>
    <row r="11958" spans="1:4" hidden="1" x14ac:dyDescent="0.25">
      <c r="A11958" t="s">
        <v>706</v>
      </c>
      <c r="B11958" t="s">
        <v>79</v>
      </c>
      <c r="C11958" s="2">
        <f>HYPERLINK("https://sao.dolgi.msk.ru/account/1404202455/", 1404202455)</f>
        <v>1404202455</v>
      </c>
      <c r="D11958">
        <v>-2344.14</v>
      </c>
    </row>
    <row r="11959" spans="1:4" hidden="1" x14ac:dyDescent="0.25">
      <c r="A11959" t="s">
        <v>706</v>
      </c>
      <c r="B11959" t="s">
        <v>80</v>
      </c>
      <c r="C11959" s="2">
        <f>HYPERLINK("https://sao.dolgi.msk.ru/account/1404202148/", 1404202148)</f>
        <v>1404202148</v>
      </c>
      <c r="D11959">
        <v>0</v>
      </c>
    </row>
    <row r="11960" spans="1:4" hidden="1" x14ac:dyDescent="0.25">
      <c r="A11960" t="s">
        <v>706</v>
      </c>
      <c r="B11960" t="s">
        <v>81</v>
      </c>
      <c r="C11960" s="2">
        <f>HYPERLINK("https://sao.dolgi.msk.ru/account/1404201719/", 1404201719)</f>
        <v>1404201719</v>
      </c>
      <c r="D11960">
        <v>-4297.22</v>
      </c>
    </row>
    <row r="11961" spans="1:4" hidden="1" x14ac:dyDescent="0.25">
      <c r="A11961" t="s">
        <v>706</v>
      </c>
      <c r="B11961" t="s">
        <v>82</v>
      </c>
      <c r="C11961" s="2">
        <f>HYPERLINK("https://sao.dolgi.msk.ru/account/1404201727/", 1404201727)</f>
        <v>1404201727</v>
      </c>
      <c r="D11961">
        <v>0</v>
      </c>
    </row>
    <row r="11962" spans="1:4" hidden="1" x14ac:dyDescent="0.25">
      <c r="A11962" t="s">
        <v>706</v>
      </c>
      <c r="B11962" t="s">
        <v>83</v>
      </c>
      <c r="C11962" s="2">
        <f>HYPERLINK("https://sao.dolgi.msk.ru/account/1404202383/", 1404202383)</f>
        <v>1404202383</v>
      </c>
      <c r="D11962">
        <v>-6672.34</v>
      </c>
    </row>
    <row r="11963" spans="1:4" hidden="1" x14ac:dyDescent="0.25">
      <c r="A11963" t="s">
        <v>706</v>
      </c>
      <c r="B11963" t="s">
        <v>84</v>
      </c>
      <c r="C11963" s="2">
        <f>HYPERLINK("https://sao.dolgi.msk.ru/account/1404201591/", 1404201591)</f>
        <v>1404201591</v>
      </c>
      <c r="D11963">
        <v>-5011.75</v>
      </c>
    </row>
    <row r="11964" spans="1:4" hidden="1" x14ac:dyDescent="0.25">
      <c r="A11964" t="s">
        <v>706</v>
      </c>
      <c r="B11964" t="s">
        <v>84</v>
      </c>
      <c r="C11964" s="2">
        <f>HYPERLINK("https://sao.dolgi.msk.ru/account/1404201997/", 1404201997)</f>
        <v>1404201997</v>
      </c>
      <c r="D11964">
        <v>-1847.21</v>
      </c>
    </row>
    <row r="11965" spans="1:4" hidden="1" x14ac:dyDescent="0.25">
      <c r="A11965" t="s">
        <v>706</v>
      </c>
      <c r="B11965" t="s">
        <v>85</v>
      </c>
      <c r="C11965" s="2">
        <f>HYPERLINK("https://sao.dolgi.msk.ru/account/1404202623/", 1404202623)</f>
        <v>1404202623</v>
      </c>
      <c r="D11965">
        <v>-4002.88</v>
      </c>
    </row>
    <row r="11966" spans="1:4" hidden="1" x14ac:dyDescent="0.25">
      <c r="A11966" t="s">
        <v>706</v>
      </c>
      <c r="B11966" t="s">
        <v>86</v>
      </c>
      <c r="C11966" s="2">
        <f>HYPERLINK("https://sao.dolgi.msk.ru/account/1404202009/", 1404202009)</f>
        <v>1404202009</v>
      </c>
      <c r="D11966">
        <v>-3248.41</v>
      </c>
    </row>
    <row r="11967" spans="1:4" hidden="1" x14ac:dyDescent="0.25">
      <c r="A11967" t="s">
        <v>706</v>
      </c>
      <c r="B11967" t="s">
        <v>87</v>
      </c>
      <c r="C11967" s="2">
        <f>HYPERLINK("https://sao.dolgi.msk.ru/account/1404201567/", 1404201567)</f>
        <v>1404201567</v>
      </c>
      <c r="D11967">
        <v>0</v>
      </c>
    </row>
    <row r="11968" spans="1:4" hidden="1" x14ac:dyDescent="0.25">
      <c r="A11968" t="s">
        <v>706</v>
      </c>
      <c r="B11968" t="s">
        <v>88</v>
      </c>
      <c r="C11968" s="2">
        <f>HYPERLINK("https://sao.dolgi.msk.ru/account/1404201735/", 1404201735)</f>
        <v>1404201735</v>
      </c>
      <c r="D11968">
        <v>-10439.280000000001</v>
      </c>
    </row>
    <row r="11969" spans="1:4" hidden="1" x14ac:dyDescent="0.25">
      <c r="A11969" t="s">
        <v>706</v>
      </c>
      <c r="B11969" t="s">
        <v>89</v>
      </c>
      <c r="C11969" s="2">
        <f>HYPERLINK("https://sao.dolgi.msk.ru/account/1404201858/", 1404201858)</f>
        <v>1404201858</v>
      </c>
      <c r="D11969">
        <v>-4077.5</v>
      </c>
    </row>
    <row r="11970" spans="1:4" hidden="1" x14ac:dyDescent="0.25">
      <c r="A11970" t="s">
        <v>706</v>
      </c>
      <c r="B11970" t="s">
        <v>90</v>
      </c>
      <c r="C11970" s="2">
        <f>HYPERLINK("https://sao.dolgi.msk.ru/account/1404202391/", 1404202391)</f>
        <v>1404202391</v>
      </c>
      <c r="D11970">
        <v>-5279.66</v>
      </c>
    </row>
    <row r="11971" spans="1:4" hidden="1" x14ac:dyDescent="0.25">
      <c r="A11971" t="s">
        <v>706</v>
      </c>
      <c r="B11971" t="s">
        <v>91</v>
      </c>
      <c r="C11971" s="2">
        <f>HYPERLINK("https://sao.dolgi.msk.ru/account/1404202172/", 1404202172)</f>
        <v>1404202172</v>
      </c>
      <c r="D11971">
        <v>0</v>
      </c>
    </row>
    <row r="11972" spans="1:4" hidden="1" x14ac:dyDescent="0.25">
      <c r="A11972" t="s">
        <v>706</v>
      </c>
      <c r="B11972" t="s">
        <v>92</v>
      </c>
      <c r="C11972" s="2">
        <f>HYPERLINK("https://sao.dolgi.msk.ru/account/1404201583/", 1404201583)</f>
        <v>1404201583</v>
      </c>
      <c r="D11972">
        <v>0</v>
      </c>
    </row>
    <row r="11973" spans="1:4" hidden="1" x14ac:dyDescent="0.25">
      <c r="A11973" t="s">
        <v>706</v>
      </c>
      <c r="B11973" t="s">
        <v>93</v>
      </c>
      <c r="C11973" s="2">
        <f>HYPERLINK("https://sao.dolgi.msk.ru/account/1404202471/", 1404202471)</f>
        <v>1404202471</v>
      </c>
      <c r="D11973">
        <v>-4596.34</v>
      </c>
    </row>
    <row r="11974" spans="1:4" hidden="1" x14ac:dyDescent="0.25">
      <c r="A11974" t="s">
        <v>706</v>
      </c>
      <c r="B11974" t="s">
        <v>94</v>
      </c>
      <c r="C11974" s="2">
        <f>HYPERLINK("https://sao.dolgi.msk.ru/account/1404202201/", 1404202201)</f>
        <v>1404202201</v>
      </c>
      <c r="D11974">
        <v>-6800.58</v>
      </c>
    </row>
    <row r="11975" spans="1:4" hidden="1" x14ac:dyDescent="0.25">
      <c r="A11975" t="s">
        <v>706</v>
      </c>
      <c r="B11975" t="s">
        <v>95</v>
      </c>
      <c r="C11975" s="2">
        <f>HYPERLINK("https://sao.dolgi.msk.ru/account/1404202412/", 1404202412)</f>
        <v>1404202412</v>
      </c>
      <c r="D11975">
        <v>-4876.8599999999997</v>
      </c>
    </row>
    <row r="11976" spans="1:4" hidden="1" x14ac:dyDescent="0.25">
      <c r="A11976" t="s">
        <v>706</v>
      </c>
      <c r="B11976" t="s">
        <v>96</v>
      </c>
      <c r="C11976" s="2">
        <f>HYPERLINK("https://sao.dolgi.msk.ru/account/1404202025/", 1404202025)</f>
        <v>1404202025</v>
      </c>
      <c r="D11976">
        <v>0</v>
      </c>
    </row>
    <row r="11977" spans="1:4" hidden="1" x14ac:dyDescent="0.25">
      <c r="A11977" t="s">
        <v>706</v>
      </c>
      <c r="B11977" t="s">
        <v>97</v>
      </c>
      <c r="C11977" s="2">
        <f>HYPERLINK("https://sao.dolgi.msk.ru/account/1404202498/", 1404202498)</f>
        <v>1404202498</v>
      </c>
      <c r="D11977">
        <v>-1731.23</v>
      </c>
    </row>
    <row r="11978" spans="1:4" hidden="1" x14ac:dyDescent="0.25">
      <c r="A11978" t="s">
        <v>706</v>
      </c>
      <c r="B11978" t="s">
        <v>98</v>
      </c>
      <c r="C11978" s="2">
        <f>HYPERLINK("https://sao.dolgi.msk.ru/account/1404202033/", 1404202033)</f>
        <v>1404202033</v>
      </c>
      <c r="D11978">
        <v>0</v>
      </c>
    </row>
    <row r="11979" spans="1:4" hidden="1" x14ac:dyDescent="0.25">
      <c r="A11979" t="s">
        <v>706</v>
      </c>
      <c r="B11979" t="s">
        <v>99</v>
      </c>
      <c r="C11979" s="2">
        <f>HYPERLINK("https://sao.dolgi.msk.ru/account/1404202228/", 1404202228)</f>
        <v>1404202228</v>
      </c>
      <c r="D11979">
        <v>-5014.63</v>
      </c>
    </row>
    <row r="11980" spans="1:4" x14ac:dyDescent="0.25">
      <c r="A11980" t="s">
        <v>706</v>
      </c>
      <c r="B11980" t="s">
        <v>100</v>
      </c>
      <c r="C11980" s="2">
        <f>HYPERLINK("https://sao.dolgi.msk.ru/account/1404201882/", 1404201882)</f>
        <v>1404201882</v>
      </c>
      <c r="D11980">
        <v>19088.32</v>
      </c>
    </row>
    <row r="11981" spans="1:4" hidden="1" x14ac:dyDescent="0.25">
      <c r="A11981" t="s">
        <v>706</v>
      </c>
      <c r="B11981" t="s">
        <v>101</v>
      </c>
      <c r="C11981" s="2">
        <f>HYPERLINK("https://sao.dolgi.msk.ru/account/1404201778/", 1404201778)</f>
        <v>1404201778</v>
      </c>
      <c r="D11981">
        <v>0</v>
      </c>
    </row>
    <row r="11982" spans="1:4" hidden="1" x14ac:dyDescent="0.25">
      <c r="A11982" t="s">
        <v>706</v>
      </c>
      <c r="B11982" t="s">
        <v>102</v>
      </c>
      <c r="C11982" s="2">
        <f>HYPERLINK("https://sao.dolgi.msk.ru/account/1404202519/", 1404202519)</f>
        <v>1404202519</v>
      </c>
      <c r="D11982">
        <v>-3872.79</v>
      </c>
    </row>
    <row r="11983" spans="1:4" hidden="1" x14ac:dyDescent="0.25">
      <c r="A11983" t="s">
        <v>707</v>
      </c>
      <c r="B11983" t="s">
        <v>77</v>
      </c>
      <c r="C11983" s="2">
        <f>HYPERLINK("https://sao.dolgi.msk.ru/account/1404204004/", 1404204004)</f>
        <v>1404204004</v>
      </c>
      <c r="D11983">
        <v>-4614.25</v>
      </c>
    </row>
    <row r="11984" spans="1:4" x14ac:dyDescent="0.25">
      <c r="A11984" t="s">
        <v>707</v>
      </c>
      <c r="B11984" t="s">
        <v>78</v>
      </c>
      <c r="C11984" s="2">
        <f>HYPERLINK("https://sao.dolgi.msk.ru/account/1404202877/", 1404202877)</f>
        <v>1404202877</v>
      </c>
      <c r="D11984">
        <v>10102.219999999999</v>
      </c>
    </row>
    <row r="11985" spans="1:4" x14ac:dyDescent="0.25">
      <c r="A11985" t="s">
        <v>707</v>
      </c>
      <c r="B11985" t="s">
        <v>79</v>
      </c>
      <c r="C11985" s="2">
        <f>HYPERLINK("https://sao.dolgi.msk.ru/account/1404203386/", 1404203386)</f>
        <v>1404203386</v>
      </c>
      <c r="D11985">
        <v>79374.61</v>
      </c>
    </row>
    <row r="11986" spans="1:4" x14ac:dyDescent="0.25">
      <c r="A11986" t="s">
        <v>707</v>
      </c>
      <c r="B11986" t="s">
        <v>80</v>
      </c>
      <c r="C11986" s="2">
        <f>HYPERLINK("https://sao.dolgi.msk.ru/account/1404204012/", 1404204012)</f>
        <v>1404204012</v>
      </c>
      <c r="D11986">
        <v>32142.639999999999</v>
      </c>
    </row>
    <row r="11987" spans="1:4" hidden="1" x14ac:dyDescent="0.25">
      <c r="A11987" t="s">
        <v>707</v>
      </c>
      <c r="B11987" t="s">
        <v>81</v>
      </c>
      <c r="C11987" s="2">
        <f>HYPERLINK("https://sao.dolgi.msk.ru/account/1404203204/", 1404203204)</f>
        <v>1404203204</v>
      </c>
      <c r="D11987">
        <v>-3807.21</v>
      </c>
    </row>
    <row r="11988" spans="1:4" hidden="1" x14ac:dyDescent="0.25">
      <c r="A11988" t="s">
        <v>707</v>
      </c>
      <c r="B11988" t="s">
        <v>82</v>
      </c>
      <c r="C11988" s="2">
        <f>HYPERLINK("https://sao.dolgi.msk.ru/account/1404203757/", 1404203757)</f>
        <v>1404203757</v>
      </c>
      <c r="D11988">
        <v>0</v>
      </c>
    </row>
    <row r="11989" spans="1:4" hidden="1" x14ac:dyDescent="0.25">
      <c r="A11989" t="s">
        <v>707</v>
      </c>
      <c r="B11989" t="s">
        <v>83</v>
      </c>
      <c r="C11989" s="2">
        <f>HYPERLINK("https://sao.dolgi.msk.ru/account/1404203546/", 1404203546)</f>
        <v>1404203546</v>
      </c>
      <c r="D11989">
        <v>0</v>
      </c>
    </row>
    <row r="11990" spans="1:4" hidden="1" x14ac:dyDescent="0.25">
      <c r="A11990" t="s">
        <v>707</v>
      </c>
      <c r="B11990" t="s">
        <v>84</v>
      </c>
      <c r="C11990" s="2">
        <f>HYPERLINK("https://sao.dolgi.msk.ru/account/1404203087/", 1404203087)</f>
        <v>1404203087</v>
      </c>
      <c r="D11990">
        <v>0</v>
      </c>
    </row>
    <row r="11991" spans="1:4" hidden="1" x14ac:dyDescent="0.25">
      <c r="A11991" t="s">
        <v>707</v>
      </c>
      <c r="B11991" t="s">
        <v>85</v>
      </c>
      <c r="C11991" s="2">
        <f>HYPERLINK("https://sao.dolgi.msk.ru/account/1404202885/", 1404202885)</f>
        <v>1404202885</v>
      </c>
      <c r="D11991">
        <v>-4669.6000000000004</v>
      </c>
    </row>
    <row r="11992" spans="1:4" hidden="1" x14ac:dyDescent="0.25">
      <c r="A11992" t="s">
        <v>707</v>
      </c>
      <c r="B11992" t="s">
        <v>86</v>
      </c>
      <c r="C11992" s="2">
        <f>HYPERLINK("https://sao.dolgi.msk.ru/account/1404203212/", 1404203212)</f>
        <v>1404203212</v>
      </c>
      <c r="D11992">
        <v>-11696.12</v>
      </c>
    </row>
    <row r="11993" spans="1:4" hidden="1" x14ac:dyDescent="0.25">
      <c r="A11993" t="s">
        <v>707</v>
      </c>
      <c r="B11993" t="s">
        <v>87</v>
      </c>
      <c r="C11993" s="2">
        <f>HYPERLINK("https://sao.dolgi.msk.ru/account/1404203917/", 1404203917)</f>
        <v>1404203917</v>
      </c>
      <c r="D11993">
        <v>-7544.35</v>
      </c>
    </row>
    <row r="11994" spans="1:4" hidden="1" x14ac:dyDescent="0.25">
      <c r="A11994" t="s">
        <v>707</v>
      </c>
      <c r="B11994" t="s">
        <v>88</v>
      </c>
      <c r="C11994" s="2">
        <f>HYPERLINK("https://sao.dolgi.msk.ru/account/1404204039/", 1404204039)</f>
        <v>1404204039</v>
      </c>
      <c r="D11994">
        <v>-3102.73</v>
      </c>
    </row>
    <row r="11995" spans="1:4" hidden="1" x14ac:dyDescent="0.25">
      <c r="A11995" t="s">
        <v>707</v>
      </c>
      <c r="B11995" t="s">
        <v>89</v>
      </c>
      <c r="C11995" s="2">
        <f>HYPERLINK("https://sao.dolgi.msk.ru/account/1404204047/", 1404204047)</f>
        <v>1404204047</v>
      </c>
      <c r="D11995">
        <v>0</v>
      </c>
    </row>
    <row r="11996" spans="1:4" x14ac:dyDescent="0.25">
      <c r="A11996" t="s">
        <v>707</v>
      </c>
      <c r="B11996" t="s">
        <v>90</v>
      </c>
      <c r="C11996" s="2">
        <f>HYPERLINK("https://sao.dolgi.msk.ru/account/1404203554/", 1404203554)</f>
        <v>1404203554</v>
      </c>
      <c r="D11996">
        <v>8939.17</v>
      </c>
    </row>
    <row r="11997" spans="1:4" x14ac:dyDescent="0.25">
      <c r="A11997" t="s">
        <v>707</v>
      </c>
      <c r="B11997" t="s">
        <v>91</v>
      </c>
      <c r="C11997" s="2">
        <f>HYPERLINK("https://sao.dolgi.msk.ru/account/1404203562/", 1404203562)</f>
        <v>1404203562</v>
      </c>
      <c r="D11997">
        <v>8307.64</v>
      </c>
    </row>
    <row r="11998" spans="1:4" hidden="1" x14ac:dyDescent="0.25">
      <c r="A11998" t="s">
        <v>707</v>
      </c>
      <c r="B11998" t="s">
        <v>92</v>
      </c>
      <c r="C11998" s="2">
        <f>HYPERLINK("https://sao.dolgi.msk.ru/account/1404204055/", 1404204055)</f>
        <v>1404204055</v>
      </c>
      <c r="D11998">
        <v>-5094.05</v>
      </c>
    </row>
    <row r="11999" spans="1:4" x14ac:dyDescent="0.25">
      <c r="A11999" t="s">
        <v>707</v>
      </c>
      <c r="B11999" t="s">
        <v>93</v>
      </c>
      <c r="C11999" s="2">
        <f>HYPERLINK("https://sao.dolgi.msk.ru/account/1404204063/", 1404204063)</f>
        <v>1404204063</v>
      </c>
      <c r="D11999">
        <v>17106.27</v>
      </c>
    </row>
    <row r="12000" spans="1:4" hidden="1" x14ac:dyDescent="0.25">
      <c r="A12000" t="s">
        <v>707</v>
      </c>
      <c r="B12000" t="s">
        <v>94</v>
      </c>
      <c r="C12000" s="2">
        <f>HYPERLINK("https://sao.dolgi.msk.ru/account/1404203589/", 1404203589)</f>
        <v>1404203589</v>
      </c>
      <c r="D12000">
        <v>-9856.7900000000009</v>
      </c>
    </row>
    <row r="12001" spans="1:4" hidden="1" x14ac:dyDescent="0.25">
      <c r="A12001" t="s">
        <v>707</v>
      </c>
      <c r="B12001" t="s">
        <v>94</v>
      </c>
      <c r="C12001" s="2">
        <f>HYPERLINK("https://sao.dolgi.msk.ru/account/1404294177/", 1404294177)</f>
        <v>1404294177</v>
      </c>
      <c r="D12001">
        <v>0</v>
      </c>
    </row>
    <row r="12002" spans="1:4" x14ac:dyDescent="0.25">
      <c r="A12002" t="s">
        <v>707</v>
      </c>
      <c r="B12002" t="s">
        <v>95</v>
      </c>
      <c r="C12002" s="2">
        <f>HYPERLINK("https://sao.dolgi.msk.ru/account/1404203765/", 1404203765)</f>
        <v>1404203765</v>
      </c>
      <c r="D12002">
        <v>8216.68</v>
      </c>
    </row>
    <row r="12003" spans="1:4" hidden="1" x14ac:dyDescent="0.25">
      <c r="A12003" t="s">
        <v>707</v>
      </c>
      <c r="B12003" t="s">
        <v>96</v>
      </c>
      <c r="C12003" s="2">
        <f>HYPERLINK("https://sao.dolgi.msk.ru/account/1404203925/", 1404203925)</f>
        <v>1404203925</v>
      </c>
      <c r="D12003">
        <v>0</v>
      </c>
    </row>
    <row r="12004" spans="1:4" hidden="1" x14ac:dyDescent="0.25">
      <c r="A12004" t="s">
        <v>707</v>
      </c>
      <c r="B12004" t="s">
        <v>97</v>
      </c>
      <c r="C12004" s="2">
        <f>HYPERLINK("https://sao.dolgi.msk.ru/account/1404202893/", 1404202893)</f>
        <v>1404202893</v>
      </c>
      <c r="D12004">
        <v>-1259.9100000000001</v>
      </c>
    </row>
    <row r="12005" spans="1:4" hidden="1" x14ac:dyDescent="0.25">
      <c r="A12005" t="s">
        <v>707</v>
      </c>
      <c r="B12005" t="s">
        <v>98</v>
      </c>
      <c r="C12005" s="2">
        <f>HYPERLINK("https://sao.dolgi.msk.ru/account/1404202711/", 1404202711)</f>
        <v>1404202711</v>
      </c>
      <c r="D12005">
        <v>0</v>
      </c>
    </row>
    <row r="12006" spans="1:4" hidden="1" x14ac:dyDescent="0.25">
      <c r="A12006" t="s">
        <v>707</v>
      </c>
      <c r="B12006" t="s">
        <v>99</v>
      </c>
      <c r="C12006" s="2">
        <f>HYPERLINK("https://sao.dolgi.msk.ru/account/1404202914/", 1404202914)</f>
        <v>1404202914</v>
      </c>
      <c r="D12006">
        <v>-5130.45</v>
      </c>
    </row>
    <row r="12007" spans="1:4" hidden="1" x14ac:dyDescent="0.25">
      <c r="A12007" t="s">
        <v>707</v>
      </c>
      <c r="B12007" t="s">
        <v>99</v>
      </c>
      <c r="C12007" s="2">
        <f>HYPERLINK("https://sao.dolgi.msk.ru/account/1404203239/", 1404203239)</f>
        <v>1404203239</v>
      </c>
      <c r="D12007">
        <v>-1265.29</v>
      </c>
    </row>
    <row r="12008" spans="1:4" x14ac:dyDescent="0.25">
      <c r="A12008" t="s">
        <v>707</v>
      </c>
      <c r="B12008" t="s">
        <v>100</v>
      </c>
      <c r="C12008" s="2">
        <f>HYPERLINK("https://sao.dolgi.msk.ru/account/1404202922/", 1404202922)</f>
        <v>1404202922</v>
      </c>
      <c r="D12008">
        <v>3835</v>
      </c>
    </row>
    <row r="12009" spans="1:4" hidden="1" x14ac:dyDescent="0.25">
      <c r="A12009" t="s">
        <v>707</v>
      </c>
      <c r="B12009" t="s">
        <v>101</v>
      </c>
      <c r="C12009" s="2">
        <f>HYPERLINK("https://sao.dolgi.msk.ru/account/1404203407/", 1404203407)</f>
        <v>1404203407</v>
      </c>
      <c r="D12009">
        <v>-4333.29</v>
      </c>
    </row>
    <row r="12010" spans="1:4" hidden="1" x14ac:dyDescent="0.25">
      <c r="A12010" t="s">
        <v>707</v>
      </c>
      <c r="B12010" t="s">
        <v>102</v>
      </c>
      <c r="C12010" s="2">
        <f>HYPERLINK("https://sao.dolgi.msk.ru/account/1404203802/", 1404203802)</f>
        <v>1404203802</v>
      </c>
      <c r="D12010">
        <v>-7052.73</v>
      </c>
    </row>
    <row r="12011" spans="1:4" hidden="1" x14ac:dyDescent="0.25">
      <c r="A12011" t="s">
        <v>707</v>
      </c>
      <c r="B12011" t="s">
        <v>103</v>
      </c>
      <c r="C12011" s="2">
        <f>HYPERLINK("https://sao.dolgi.msk.ru/account/1404203933/", 1404203933)</f>
        <v>1404203933</v>
      </c>
      <c r="D12011">
        <v>0</v>
      </c>
    </row>
    <row r="12012" spans="1:4" hidden="1" x14ac:dyDescent="0.25">
      <c r="A12012" t="s">
        <v>707</v>
      </c>
      <c r="B12012" t="s">
        <v>104</v>
      </c>
      <c r="C12012" s="2">
        <f>HYPERLINK("https://sao.dolgi.msk.ru/account/1404203773/", 1404203773)</f>
        <v>1404203773</v>
      </c>
      <c r="D12012">
        <v>-6570.24</v>
      </c>
    </row>
    <row r="12013" spans="1:4" hidden="1" x14ac:dyDescent="0.25">
      <c r="A12013" t="s">
        <v>707</v>
      </c>
      <c r="B12013" t="s">
        <v>105</v>
      </c>
      <c r="C12013" s="2">
        <f>HYPERLINK("https://sao.dolgi.msk.ru/account/1404202906/", 1404202906)</f>
        <v>1404202906</v>
      </c>
      <c r="D12013">
        <v>-4611.67</v>
      </c>
    </row>
    <row r="12014" spans="1:4" hidden="1" x14ac:dyDescent="0.25">
      <c r="A12014" t="s">
        <v>707</v>
      </c>
      <c r="B12014" t="s">
        <v>106</v>
      </c>
      <c r="C12014" s="2">
        <f>HYPERLINK("https://sao.dolgi.msk.ru/account/1404203415/", 1404203415)</f>
        <v>1404203415</v>
      </c>
      <c r="D12014">
        <v>-6657.83</v>
      </c>
    </row>
    <row r="12015" spans="1:4" hidden="1" x14ac:dyDescent="0.25">
      <c r="A12015" t="s">
        <v>707</v>
      </c>
      <c r="B12015" t="s">
        <v>107</v>
      </c>
      <c r="C12015" s="2">
        <f>HYPERLINK("https://sao.dolgi.msk.ru/account/1404203829/", 1404203829)</f>
        <v>1404203829</v>
      </c>
      <c r="D12015">
        <v>0</v>
      </c>
    </row>
    <row r="12016" spans="1:4" hidden="1" x14ac:dyDescent="0.25">
      <c r="A12016" t="s">
        <v>707</v>
      </c>
      <c r="B12016" t="s">
        <v>108</v>
      </c>
      <c r="C12016" s="2">
        <f>HYPERLINK("https://sao.dolgi.msk.ru/account/1404202738/", 1404202738)</f>
        <v>1404202738</v>
      </c>
      <c r="D12016">
        <v>0</v>
      </c>
    </row>
    <row r="12017" spans="1:4" hidden="1" x14ac:dyDescent="0.25">
      <c r="A12017" t="s">
        <v>707</v>
      </c>
      <c r="B12017" t="s">
        <v>109</v>
      </c>
      <c r="C12017" s="2">
        <f>HYPERLINK("https://sao.dolgi.msk.ru/account/1404203255/", 1404203255)</f>
        <v>1404203255</v>
      </c>
      <c r="D12017">
        <v>-6990.81</v>
      </c>
    </row>
    <row r="12018" spans="1:4" hidden="1" x14ac:dyDescent="0.25">
      <c r="A12018" t="s">
        <v>707</v>
      </c>
      <c r="B12018" t="s">
        <v>110</v>
      </c>
      <c r="C12018" s="2">
        <f>HYPERLINK("https://sao.dolgi.msk.ru/account/1404202746/", 1404202746)</f>
        <v>1404202746</v>
      </c>
      <c r="D12018">
        <v>-6583.81</v>
      </c>
    </row>
    <row r="12019" spans="1:4" hidden="1" x14ac:dyDescent="0.25">
      <c r="A12019" t="s">
        <v>707</v>
      </c>
      <c r="B12019" t="s">
        <v>111</v>
      </c>
      <c r="C12019" s="2">
        <f>HYPERLINK("https://sao.dolgi.msk.ru/account/1404203108/", 1404203108)</f>
        <v>1404203108</v>
      </c>
      <c r="D12019">
        <v>-8724.7999999999993</v>
      </c>
    </row>
    <row r="12020" spans="1:4" hidden="1" x14ac:dyDescent="0.25">
      <c r="A12020" t="s">
        <v>707</v>
      </c>
      <c r="B12020" t="s">
        <v>112</v>
      </c>
      <c r="C12020" s="2">
        <f>HYPERLINK("https://sao.dolgi.msk.ru/account/1404203618/", 1404203618)</f>
        <v>1404203618</v>
      </c>
      <c r="D12020">
        <v>-5877.55</v>
      </c>
    </row>
    <row r="12021" spans="1:4" hidden="1" x14ac:dyDescent="0.25">
      <c r="A12021" t="s">
        <v>707</v>
      </c>
      <c r="B12021" t="s">
        <v>113</v>
      </c>
      <c r="C12021" s="2">
        <f>HYPERLINK("https://sao.dolgi.msk.ru/account/1404202949/", 1404202949)</f>
        <v>1404202949</v>
      </c>
      <c r="D12021">
        <v>-6585.22</v>
      </c>
    </row>
    <row r="12022" spans="1:4" hidden="1" x14ac:dyDescent="0.25">
      <c r="A12022" t="s">
        <v>707</v>
      </c>
      <c r="B12022" t="s">
        <v>114</v>
      </c>
      <c r="C12022" s="2">
        <f>HYPERLINK("https://sao.dolgi.msk.ru/account/1404203423/", 1404203423)</f>
        <v>1404203423</v>
      </c>
      <c r="D12022">
        <v>-6409.18</v>
      </c>
    </row>
    <row r="12023" spans="1:4" hidden="1" x14ac:dyDescent="0.25">
      <c r="A12023" t="s">
        <v>707</v>
      </c>
      <c r="B12023" t="s">
        <v>115</v>
      </c>
      <c r="C12023" s="2">
        <f>HYPERLINK("https://sao.dolgi.msk.ru/account/1404203941/", 1404203941)</f>
        <v>1404203941</v>
      </c>
      <c r="D12023">
        <v>-7909.72</v>
      </c>
    </row>
    <row r="12024" spans="1:4" x14ac:dyDescent="0.25">
      <c r="A12024" t="s">
        <v>707</v>
      </c>
      <c r="B12024" t="s">
        <v>116</v>
      </c>
      <c r="C12024" s="2">
        <f>HYPERLINK("https://sao.dolgi.msk.ru/account/1404203626/", 1404203626)</f>
        <v>1404203626</v>
      </c>
      <c r="D12024">
        <v>21052.09</v>
      </c>
    </row>
    <row r="12025" spans="1:4" x14ac:dyDescent="0.25">
      <c r="A12025" t="s">
        <v>707</v>
      </c>
      <c r="B12025" t="s">
        <v>117</v>
      </c>
      <c r="C12025" s="2">
        <f>HYPERLINK("https://sao.dolgi.msk.ru/account/1404203263/", 1404203263)</f>
        <v>1404203263</v>
      </c>
      <c r="D12025">
        <v>1257.5</v>
      </c>
    </row>
    <row r="12026" spans="1:4" hidden="1" x14ac:dyDescent="0.25">
      <c r="A12026" t="s">
        <v>707</v>
      </c>
      <c r="B12026" t="s">
        <v>118</v>
      </c>
      <c r="C12026" s="2">
        <f>HYPERLINK("https://sao.dolgi.msk.ru/account/1404203634/", 1404203634)</f>
        <v>1404203634</v>
      </c>
      <c r="D12026">
        <v>-6556.88</v>
      </c>
    </row>
    <row r="12027" spans="1:4" hidden="1" x14ac:dyDescent="0.25">
      <c r="A12027" t="s">
        <v>707</v>
      </c>
      <c r="B12027" t="s">
        <v>119</v>
      </c>
      <c r="C12027" s="2">
        <f>HYPERLINK("https://sao.dolgi.msk.ru/account/1404202957/", 1404202957)</f>
        <v>1404202957</v>
      </c>
      <c r="D12027">
        <v>0</v>
      </c>
    </row>
    <row r="12028" spans="1:4" hidden="1" x14ac:dyDescent="0.25">
      <c r="A12028" t="s">
        <v>707</v>
      </c>
      <c r="B12028" t="s">
        <v>120</v>
      </c>
      <c r="C12028" s="2">
        <f>HYPERLINK("https://sao.dolgi.msk.ru/account/1404202965/", 1404202965)</f>
        <v>1404202965</v>
      </c>
      <c r="D12028">
        <v>-6107.47</v>
      </c>
    </row>
    <row r="12029" spans="1:4" hidden="1" x14ac:dyDescent="0.25">
      <c r="A12029" t="s">
        <v>707</v>
      </c>
      <c r="B12029" t="s">
        <v>121</v>
      </c>
      <c r="C12029" s="2">
        <f>HYPERLINK("https://sao.dolgi.msk.ru/account/1404203642/", 1404203642)</f>
        <v>1404203642</v>
      </c>
      <c r="D12029">
        <v>-5880.6</v>
      </c>
    </row>
    <row r="12030" spans="1:4" hidden="1" x14ac:dyDescent="0.25">
      <c r="A12030" t="s">
        <v>707</v>
      </c>
      <c r="B12030" t="s">
        <v>122</v>
      </c>
      <c r="C12030" s="2">
        <f>HYPERLINK("https://sao.dolgi.msk.ru/account/1404203431/", 1404203431)</f>
        <v>1404203431</v>
      </c>
      <c r="D12030">
        <v>-6614.04</v>
      </c>
    </row>
    <row r="12031" spans="1:4" hidden="1" x14ac:dyDescent="0.25">
      <c r="A12031" t="s">
        <v>707</v>
      </c>
      <c r="B12031" t="s">
        <v>123</v>
      </c>
      <c r="C12031" s="2">
        <f>HYPERLINK("https://sao.dolgi.msk.ru/account/1404203837/", 1404203837)</f>
        <v>1404203837</v>
      </c>
      <c r="D12031">
        <v>0</v>
      </c>
    </row>
    <row r="12032" spans="1:4" hidden="1" x14ac:dyDescent="0.25">
      <c r="A12032" t="s">
        <v>707</v>
      </c>
      <c r="B12032" t="s">
        <v>124</v>
      </c>
      <c r="C12032" s="2">
        <f>HYPERLINK("https://sao.dolgi.msk.ru/account/1404203271/", 1404203271)</f>
        <v>1404203271</v>
      </c>
      <c r="D12032">
        <v>-5870.72</v>
      </c>
    </row>
    <row r="12033" spans="1:4" hidden="1" x14ac:dyDescent="0.25">
      <c r="A12033" t="s">
        <v>707</v>
      </c>
      <c r="B12033" t="s">
        <v>125</v>
      </c>
      <c r="C12033" s="2">
        <f>HYPERLINK("https://sao.dolgi.msk.ru/account/1404203845/", 1404203845)</f>
        <v>1404203845</v>
      </c>
      <c r="D12033">
        <v>0</v>
      </c>
    </row>
    <row r="12034" spans="1:4" hidden="1" x14ac:dyDescent="0.25">
      <c r="A12034" t="s">
        <v>707</v>
      </c>
      <c r="B12034" t="s">
        <v>126</v>
      </c>
      <c r="C12034" s="2">
        <f>HYPERLINK("https://sao.dolgi.msk.ru/account/1404203669/", 1404203669)</f>
        <v>1404203669</v>
      </c>
      <c r="D12034">
        <v>-3930.26</v>
      </c>
    </row>
    <row r="12035" spans="1:4" hidden="1" x14ac:dyDescent="0.25">
      <c r="A12035" t="s">
        <v>707</v>
      </c>
      <c r="B12035" t="s">
        <v>127</v>
      </c>
      <c r="C12035" s="2">
        <f>HYPERLINK("https://sao.dolgi.msk.ru/account/1404202973/", 1404202973)</f>
        <v>1404202973</v>
      </c>
      <c r="D12035">
        <v>-6348.67</v>
      </c>
    </row>
    <row r="12036" spans="1:4" hidden="1" x14ac:dyDescent="0.25">
      <c r="A12036" t="s">
        <v>707</v>
      </c>
      <c r="B12036" t="s">
        <v>128</v>
      </c>
      <c r="C12036" s="2">
        <f>HYPERLINK("https://sao.dolgi.msk.ru/account/1404202981/", 1404202981)</f>
        <v>1404202981</v>
      </c>
      <c r="D12036">
        <v>-7063.09</v>
      </c>
    </row>
    <row r="12037" spans="1:4" hidden="1" x14ac:dyDescent="0.25">
      <c r="A12037" t="s">
        <v>707</v>
      </c>
      <c r="B12037" t="s">
        <v>129</v>
      </c>
      <c r="C12037" s="2">
        <f>HYPERLINK("https://sao.dolgi.msk.ru/account/1404203677/", 1404203677)</f>
        <v>1404203677</v>
      </c>
      <c r="D12037">
        <v>-6648.07</v>
      </c>
    </row>
    <row r="12038" spans="1:4" hidden="1" x14ac:dyDescent="0.25">
      <c r="A12038" t="s">
        <v>707</v>
      </c>
      <c r="B12038" t="s">
        <v>130</v>
      </c>
      <c r="C12038" s="2">
        <f>HYPERLINK("https://sao.dolgi.msk.ru/account/1404203319/", 1404203319)</f>
        <v>1404203319</v>
      </c>
      <c r="D12038">
        <v>-4140.8500000000004</v>
      </c>
    </row>
    <row r="12039" spans="1:4" hidden="1" x14ac:dyDescent="0.25">
      <c r="A12039" t="s">
        <v>707</v>
      </c>
      <c r="B12039" t="s">
        <v>131</v>
      </c>
      <c r="C12039" s="2">
        <f>HYPERLINK("https://sao.dolgi.msk.ru/account/1404203001/", 1404203001)</f>
        <v>1404203001</v>
      </c>
      <c r="D12039">
        <v>-6199.91</v>
      </c>
    </row>
    <row r="12040" spans="1:4" hidden="1" x14ac:dyDescent="0.25">
      <c r="A12040" t="s">
        <v>707</v>
      </c>
      <c r="B12040" t="s">
        <v>132</v>
      </c>
      <c r="C12040" s="2">
        <f>HYPERLINK("https://sao.dolgi.msk.ru/account/1404203458/", 1404203458)</f>
        <v>1404203458</v>
      </c>
      <c r="D12040">
        <v>-2219.48</v>
      </c>
    </row>
    <row r="12041" spans="1:4" hidden="1" x14ac:dyDescent="0.25">
      <c r="A12041" t="s">
        <v>707</v>
      </c>
      <c r="B12041" t="s">
        <v>133</v>
      </c>
      <c r="C12041" s="2">
        <f>HYPERLINK("https://sao.dolgi.msk.ru/account/1404203853/", 1404203853)</f>
        <v>1404203853</v>
      </c>
      <c r="D12041">
        <v>0</v>
      </c>
    </row>
    <row r="12042" spans="1:4" hidden="1" x14ac:dyDescent="0.25">
      <c r="A12042" t="s">
        <v>707</v>
      </c>
      <c r="B12042" t="s">
        <v>134</v>
      </c>
      <c r="C12042" s="2">
        <f>HYPERLINK("https://sao.dolgi.msk.ru/account/1404203327/", 1404203327)</f>
        <v>1404203327</v>
      </c>
      <c r="D12042">
        <v>0</v>
      </c>
    </row>
    <row r="12043" spans="1:4" hidden="1" x14ac:dyDescent="0.25">
      <c r="A12043" t="s">
        <v>707</v>
      </c>
      <c r="B12043" t="s">
        <v>135</v>
      </c>
      <c r="C12043" s="2">
        <f>HYPERLINK("https://sao.dolgi.msk.ru/account/1404203028/", 1404203028)</f>
        <v>1404203028</v>
      </c>
      <c r="D12043">
        <v>0</v>
      </c>
    </row>
    <row r="12044" spans="1:4" hidden="1" x14ac:dyDescent="0.25">
      <c r="A12044" t="s">
        <v>707</v>
      </c>
      <c r="B12044" t="s">
        <v>136</v>
      </c>
      <c r="C12044" s="2">
        <f>HYPERLINK("https://sao.dolgi.msk.ru/account/1404203861/", 1404203861)</f>
        <v>1404203861</v>
      </c>
      <c r="D12044">
        <v>-5406.71</v>
      </c>
    </row>
    <row r="12045" spans="1:4" hidden="1" x14ac:dyDescent="0.25">
      <c r="A12045" t="s">
        <v>707</v>
      </c>
      <c r="B12045" t="s">
        <v>137</v>
      </c>
      <c r="C12045" s="2">
        <f>HYPERLINK("https://sao.dolgi.msk.ru/account/1404203888/", 1404203888)</f>
        <v>1404203888</v>
      </c>
      <c r="D12045">
        <v>-12905.48</v>
      </c>
    </row>
    <row r="12046" spans="1:4" x14ac:dyDescent="0.25">
      <c r="A12046" t="s">
        <v>707</v>
      </c>
      <c r="B12046" t="s">
        <v>138</v>
      </c>
      <c r="C12046" s="2">
        <f>HYPERLINK("https://sao.dolgi.msk.ru/account/1404202762/", 1404202762)</f>
        <v>1404202762</v>
      </c>
      <c r="D12046">
        <v>13519.72</v>
      </c>
    </row>
    <row r="12047" spans="1:4" hidden="1" x14ac:dyDescent="0.25">
      <c r="A12047" t="s">
        <v>707</v>
      </c>
      <c r="B12047" t="s">
        <v>139</v>
      </c>
      <c r="C12047" s="2">
        <f>HYPERLINK("https://sao.dolgi.msk.ru/account/1404202789/", 1404202789)</f>
        <v>1404202789</v>
      </c>
      <c r="D12047">
        <v>0</v>
      </c>
    </row>
    <row r="12048" spans="1:4" hidden="1" x14ac:dyDescent="0.25">
      <c r="A12048" t="s">
        <v>707</v>
      </c>
      <c r="B12048" t="s">
        <v>140</v>
      </c>
      <c r="C12048" s="2">
        <f>HYPERLINK("https://sao.dolgi.msk.ru/account/1404203685/", 1404203685)</f>
        <v>1404203685</v>
      </c>
      <c r="D12048">
        <v>-3068.6</v>
      </c>
    </row>
    <row r="12049" spans="1:4" x14ac:dyDescent="0.25">
      <c r="A12049" t="s">
        <v>707</v>
      </c>
      <c r="B12049" t="s">
        <v>141</v>
      </c>
      <c r="C12049" s="2">
        <f>HYPERLINK("https://sao.dolgi.msk.ru/account/1404203116/", 1404203116)</f>
        <v>1404203116</v>
      </c>
      <c r="D12049">
        <v>22935.97</v>
      </c>
    </row>
    <row r="12050" spans="1:4" x14ac:dyDescent="0.25">
      <c r="A12050" t="s">
        <v>707</v>
      </c>
      <c r="B12050" t="s">
        <v>142</v>
      </c>
      <c r="C12050" s="2">
        <f>HYPERLINK("https://sao.dolgi.msk.ru/account/1404203036/", 1404203036)</f>
        <v>1404203036</v>
      </c>
      <c r="D12050">
        <v>26792.34</v>
      </c>
    </row>
    <row r="12051" spans="1:4" hidden="1" x14ac:dyDescent="0.25">
      <c r="A12051" t="s">
        <v>707</v>
      </c>
      <c r="B12051" t="s">
        <v>143</v>
      </c>
      <c r="C12051" s="2">
        <f>HYPERLINK("https://sao.dolgi.msk.ru/account/1404203124/", 1404203124)</f>
        <v>1404203124</v>
      </c>
      <c r="D12051">
        <v>-6054.43</v>
      </c>
    </row>
    <row r="12052" spans="1:4" hidden="1" x14ac:dyDescent="0.25">
      <c r="A12052" t="s">
        <v>707</v>
      </c>
      <c r="B12052" t="s">
        <v>144</v>
      </c>
      <c r="C12052" s="2">
        <f>HYPERLINK("https://sao.dolgi.msk.ru/account/1404203968/", 1404203968)</f>
        <v>1404203968</v>
      </c>
      <c r="D12052">
        <v>-3675.41</v>
      </c>
    </row>
    <row r="12053" spans="1:4" hidden="1" x14ac:dyDescent="0.25">
      <c r="A12053" t="s">
        <v>707</v>
      </c>
      <c r="B12053" t="s">
        <v>145</v>
      </c>
      <c r="C12053" s="2">
        <f>HYPERLINK("https://sao.dolgi.msk.ru/account/1404203466/", 1404203466)</f>
        <v>1404203466</v>
      </c>
      <c r="D12053">
        <v>-6785.23</v>
      </c>
    </row>
    <row r="12054" spans="1:4" hidden="1" x14ac:dyDescent="0.25">
      <c r="A12054" t="s">
        <v>707</v>
      </c>
      <c r="B12054" t="s">
        <v>146</v>
      </c>
      <c r="C12054" s="2">
        <f>HYPERLINK("https://sao.dolgi.msk.ru/account/1404203132/", 1404203132)</f>
        <v>1404203132</v>
      </c>
      <c r="D12054">
        <v>-8425.59</v>
      </c>
    </row>
    <row r="12055" spans="1:4" x14ac:dyDescent="0.25">
      <c r="A12055" t="s">
        <v>707</v>
      </c>
      <c r="B12055" t="s">
        <v>147</v>
      </c>
      <c r="C12055" s="2">
        <f>HYPERLINK("https://sao.dolgi.msk.ru/account/1404203159/", 1404203159)</f>
        <v>1404203159</v>
      </c>
      <c r="D12055">
        <v>27848.71</v>
      </c>
    </row>
    <row r="12056" spans="1:4" hidden="1" x14ac:dyDescent="0.25">
      <c r="A12056" t="s">
        <v>707</v>
      </c>
      <c r="B12056" t="s">
        <v>148</v>
      </c>
      <c r="C12056" s="2">
        <f>HYPERLINK("https://sao.dolgi.msk.ru/account/1404203335/", 1404203335)</f>
        <v>1404203335</v>
      </c>
      <c r="D12056">
        <v>-5897.14</v>
      </c>
    </row>
    <row r="12057" spans="1:4" x14ac:dyDescent="0.25">
      <c r="A12057" t="s">
        <v>707</v>
      </c>
      <c r="B12057" t="s">
        <v>149</v>
      </c>
      <c r="C12057" s="2">
        <f>HYPERLINK("https://sao.dolgi.msk.ru/account/1404203693/", 1404203693)</f>
        <v>1404203693</v>
      </c>
      <c r="D12057">
        <v>19474.189999999999</v>
      </c>
    </row>
    <row r="12058" spans="1:4" hidden="1" x14ac:dyDescent="0.25">
      <c r="A12058" t="s">
        <v>707</v>
      </c>
      <c r="B12058" t="s">
        <v>150</v>
      </c>
      <c r="C12058" s="2">
        <f>HYPERLINK("https://sao.dolgi.msk.ru/account/1404202797/", 1404202797)</f>
        <v>1404202797</v>
      </c>
      <c r="D12058">
        <v>-6272.31</v>
      </c>
    </row>
    <row r="12059" spans="1:4" x14ac:dyDescent="0.25">
      <c r="A12059" t="s">
        <v>707</v>
      </c>
      <c r="B12059" t="s">
        <v>151</v>
      </c>
      <c r="C12059" s="2">
        <f>HYPERLINK("https://sao.dolgi.msk.ru/account/1404203706/", 1404203706)</f>
        <v>1404203706</v>
      </c>
      <c r="D12059">
        <v>1255.0899999999999</v>
      </c>
    </row>
    <row r="12060" spans="1:4" hidden="1" x14ac:dyDescent="0.25">
      <c r="A12060" t="s">
        <v>707</v>
      </c>
      <c r="B12060" t="s">
        <v>152</v>
      </c>
      <c r="C12060" s="2">
        <f>HYPERLINK("https://sao.dolgi.msk.ru/account/1404202818/", 1404202818)</f>
        <v>1404202818</v>
      </c>
      <c r="D12060">
        <v>-4453.28</v>
      </c>
    </row>
    <row r="12061" spans="1:4" x14ac:dyDescent="0.25">
      <c r="A12061" t="s">
        <v>707</v>
      </c>
      <c r="B12061" t="s">
        <v>153</v>
      </c>
      <c r="C12061" s="2">
        <f>HYPERLINK("https://sao.dolgi.msk.ru/account/1404203167/", 1404203167)</f>
        <v>1404203167</v>
      </c>
      <c r="D12061">
        <v>45929.88</v>
      </c>
    </row>
    <row r="12062" spans="1:4" hidden="1" x14ac:dyDescent="0.25">
      <c r="A12062" t="s">
        <v>707</v>
      </c>
      <c r="B12062" t="s">
        <v>154</v>
      </c>
      <c r="C12062" s="2">
        <f>HYPERLINK("https://sao.dolgi.msk.ru/account/1404202674/", 1404202674)</f>
        <v>1404202674</v>
      </c>
      <c r="D12062">
        <v>0</v>
      </c>
    </row>
    <row r="12063" spans="1:4" hidden="1" x14ac:dyDescent="0.25">
      <c r="A12063" t="s">
        <v>707</v>
      </c>
      <c r="B12063" t="s">
        <v>155</v>
      </c>
      <c r="C12063" s="2">
        <f>HYPERLINK("https://sao.dolgi.msk.ru/account/1404203394/", 1404203394)</f>
        <v>1404203394</v>
      </c>
      <c r="D12063">
        <v>-6629.46</v>
      </c>
    </row>
    <row r="12064" spans="1:4" hidden="1" x14ac:dyDescent="0.25">
      <c r="A12064" t="s">
        <v>707</v>
      </c>
      <c r="B12064" t="s">
        <v>156</v>
      </c>
      <c r="C12064" s="2">
        <f>HYPERLINK("https://sao.dolgi.msk.ru/account/1404203597/", 1404203597)</f>
        <v>1404203597</v>
      </c>
      <c r="D12064">
        <v>-3817.28</v>
      </c>
    </row>
    <row r="12065" spans="1:4" hidden="1" x14ac:dyDescent="0.25">
      <c r="A12065" t="s">
        <v>707</v>
      </c>
      <c r="B12065" t="s">
        <v>157</v>
      </c>
      <c r="C12065" s="2">
        <f>HYPERLINK("https://sao.dolgi.msk.ru/account/1404202682/", 1404202682)</f>
        <v>1404202682</v>
      </c>
      <c r="D12065">
        <v>0</v>
      </c>
    </row>
    <row r="12066" spans="1:4" hidden="1" x14ac:dyDescent="0.25">
      <c r="A12066" t="s">
        <v>707</v>
      </c>
      <c r="B12066" t="s">
        <v>158</v>
      </c>
      <c r="C12066" s="2">
        <f>HYPERLINK("https://sao.dolgi.msk.ru/account/1404202703/", 1404202703)</f>
        <v>1404202703</v>
      </c>
      <c r="D12066">
        <v>-7998.59</v>
      </c>
    </row>
    <row r="12067" spans="1:4" x14ac:dyDescent="0.25">
      <c r="A12067" t="s">
        <v>707</v>
      </c>
      <c r="B12067" t="s">
        <v>159</v>
      </c>
      <c r="C12067" s="2">
        <f>HYPERLINK("https://sao.dolgi.msk.ru/account/1404203095/", 1404203095)</f>
        <v>1404203095</v>
      </c>
      <c r="D12067">
        <v>9163.2800000000007</v>
      </c>
    </row>
    <row r="12068" spans="1:4" x14ac:dyDescent="0.25">
      <c r="A12068" t="s">
        <v>707</v>
      </c>
      <c r="B12068" t="s">
        <v>159</v>
      </c>
      <c r="C12068" s="2">
        <f>HYPERLINK("https://sao.dolgi.msk.ru/account/1404203247/", 1404203247)</f>
        <v>1404203247</v>
      </c>
      <c r="D12068">
        <v>25288.15</v>
      </c>
    </row>
    <row r="12069" spans="1:4" hidden="1" x14ac:dyDescent="0.25">
      <c r="A12069" t="s">
        <v>707</v>
      </c>
      <c r="B12069" t="s">
        <v>159</v>
      </c>
      <c r="C12069" s="2">
        <f>HYPERLINK("https://sao.dolgi.msk.ru/account/1404203781/", 1404203781)</f>
        <v>1404203781</v>
      </c>
      <c r="D12069">
        <v>-4841.6400000000003</v>
      </c>
    </row>
    <row r="12070" spans="1:4" hidden="1" x14ac:dyDescent="0.25">
      <c r="A12070" t="s">
        <v>707</v>
      </c>
      <c r="B12070" t="s">
        <v>160</v>
      </c>
      <c r="C12070" s="2">
        <f>HYPERLINK("https://sao.dolgi.msk.ru/account/1404203343/", 1404203343)</f>
        <v>1404203343</v>
      </c>
      <c r="D12070">
        <v>0</v>
      </c>
    </row>
    <row r="12071" spans="1:4" hidden="1" x14ac:dyDescent="0.25">
      <c r="A12071" t="s">
        <v>707</v>
      </c>
      <c r="B12071" t="s">
        <v>161</v>
      </c>
      <c r="C12071" s="2">
        <f>HYPERLINK("https://sao.dolgi.msk.ru/account/1404203351/", 1404203351)</f>
        <v>1404203351</v>
      </c>
      <c r="D12071">
        <v>-5662.86</v>
      </c>
    </row>
    <row r="12072" spans="1:4" hidden="1" x14ac:dyDescent="0.25">
      <c r="A12072" t="s">
        <v>707</v>
      </c>
      <c r="B12072" t="s">
        <v>162</v>
      </c>
      <c r="C12072" s="2">
        <f>HYPERLINK("https://sao.dolgi.msk.ru/account/1404203714/", 1404203714)</f>
        <v>1404203714</v>
      </c>
      <c r="D12072">
        <v>-7182.65</v>
      </c>
    </row>
    <row r="12073" spans="1:4" hidden="1" x14ac:dyDescent="0.25">
      <c r="A12073" t="s">
        <v>707</v>
      </c>
      <c r="B12073" t="s">
        <v>163</v>
      </c>
      <c r="C12073" s="2">
        <f>HYPERLINK("https://sao.dolgi.msk.ru/account/1404203896/", 1404203896)</f>
        <v>1404203896</v>
      </c>
      <c r="D12073">
        <v>0</v>
      </c>
    </row>
    <row r="12074" spans="1:4" x14ac:dyDescent="0.25">
      <c r="A12074" t="s">
        <v>707</v>
      </c>
      <c r="B12074" t="s">
        <v>164</v>
      </c>
      <c r="C12074" s="2">
        <f>HYPERLINK("https://sao.dolgi.msk.ru/account/1404203474/", 1404203474)</f>
        <v>1404203474</v>
      </c>
      <c r="D12074">
        <v>22745.57</v>
      </c>
    </row>
    <row r="12075" spans="1:4" hidden="1" x14ac:dyDescent="0.25">
      <c r="A12075" t="s">
        <v>707</v>
      </c>
      <c r="B12075" t="s">
        <v>165</v>
      </c>
      <c r="C12075" s="2">
        <f>HYPERLINK("https://sao.dolgi.msk.ru/account/1404203175/", 1404203175)</f>
        <v>1404203175</v>
      </c>
      <c r="D12075">
        <v>-5595.02</v>
      </c>
    </row>
    <row r="12076" spans="1:4" hidden="1" x14ac:dyDescent="0.25">
      <c r="A12076" t="s">
        <v>707</v>
      </c>
      <c r="B12076" t="s">
        <v>166</v>
      </c>
      <c r="C12076" s="2">
        <f>HYPERLINK("https://sao.dolgi.msk.ru/account/1404202754/", 1404202754)</f>
        <v>1404202754</v>
      </c>
      <c r="D12076">
        <v>0</v>
      </c>
    </row>
    <row r="12077" spans="1:4" hidden="1" x14ac:dyDescent="0.25">
      <c r="A12077" t="s">
        <v>707</v>
      </c>
      <c r="B12077" t="s">
        <v>167</v>
      </c>
      <c r="C12077" s="2">
        <f>HYPERLINK("https://sao.dolgi.msk.ru/account/1404203722/", 1404203722)</f>
        <v>1404203722</v>
      </c>
      <c r="D12077">
        <v>-3760.56</v>
      </c>
    </row>
    <row r="12078" spans="1:4" hidden="1" x14ac:dyDescent="0.25">
      <c r="A12078" t="s">
        <v>707</v>
      </c>
      <c r="B12078" t="s">
        <v>168</v>
      </c>
      <c r="C12078" s="2">
        <f>HYPERLINK("https://sao.dolgi.msk.ru/account/1404203976/", 1404203976)</f>
        <v>1404203976</v>
      </c>
      <c r="D12078">
        <v>-6721.76</v>
      </c>
    </row>
    <row r="12079" spans="1:4" hidden="1" x14ac:dyDescent="0.25">
      <c r="A12079" t="s">
        <v>707</v>
      </c>
      <c r="B12079" t="s">
        <v>169</v>
      </c>
      <c r="C12079" s="2">
        <f>HYPERLINK("https://sao.dolgi.msk.ru/account/1404202826/", 1404202826)</f>
        <v>1404202826</v>
      </c>
      <c r="D12079">
        <v>-2703.49</v>
      </c>
    </row>
    <row r="12080" spans="1:4" hidden="1" x14ac:dyDescent="0.25">
      <c r="A12080" t="s">
        <v>707</v>
      </c>
      <c r="B12080" t="s">
        <v>169</v>
      </c>
      <c r="C12080" s="2">
        <f>HYPERLINK("https://sao.dolgi.msk.ru/account/1404203298/", 1404203298)</f>
        <v>1404203298</v>
      </c>
      <c r="D12080">
        <v>-2305.2199999999998</v>
      </c>
    </row>
    <row r="12081" spans="1:4" hidden="1" x14ac:dyDescent="0.25">
      <c r="A12081" t="s">
        <v>707</v>
      </c>
      <c r="B12081" t="s">
        <v>170</v>
      </c>
      <c r="C12081" s="2">
        <f>HYPERLINK("https://sao.dolgi.msk.ru/account/1404174634/", 1404174634)</f>
        <v>1404174634</v>
      </c>
      <c r="D12081">
        <v>0</v>
      </c>
    </row>
    <row r="12082" spans="1:4" hidden="1" x14ac:dyDescent="0.25">
      <c r="A12082" t="s">
        <v>707</v>
      </c>
      <c r="B12082" t="s">
        <v>170</v>
      </c>
      <c r="C12082" s="2">
        <f>HYPERLINK("https://sao.dolgi.msk.ru/account/1404203378/", 1404203378)</f>
        <v>1404203378</v>
      </c>
      <c r="D12082">
        <v>0</v>
      </c>
    </row>
    <row r="12083" spans="1:4" hidden="1" x14ac:dyDescent="0.25">
      <c r="A12083" t="s">
        <v>707</v>
      </c>
      <c r="B12083" t="s">
        <v>171</v>
      </c>
      <c r="C12083" s="2">
        <f>HYPERLINK("https://sao.dolgi.msk.ru/account/1404203044/", 1404203044)</f>
        <v>1404203044</v>
      </c>
      <c r="D12083">
        <v>-4324.8100000000004</v>
      </c>
    </row>
    <row r="12084" spans="1:4" hidden="1" x14ac:dyDescent="0.25">
      <c r="A12084" t="s">
        <v>707</v>
      </c>
      <c r="B12084" t="s">
        <v>172</v>
      </c>
      <c r="C12084" s="2">
        <f>HYPERLINK("https://sao.dolgi.msk.ru/account/1404203183/", 1404203183)</f>
        <v>1404203183</v>
      </c>
      <c r="D12084">
        <v>-6504.81</v>
      </c>
    </row>
    <row r="12085" spans="1:4" hidden="1" x14ac:dyDescent="0.25">
      <c r="A12085" t="s">
        <v>707</v>
      </c>
      <c r="B12085" t="s">
        <v>173</v>
      </c>
      <c r="C12085" s="2">
        <f>HYPERLINK("https://sao.dolgi.msk.ru/account/1404203052/", 1404203052)</f>
        <v>1404203052</v>
      </c>
      <c r="D12085">
        <v>-4942.3599999999997</v>
      </c>
    </row>
    <row r="12086" spans="1:4" hidden="1" x14ac:dyDescent="0.25">
      <c r="A12086" t="s">
        <v>707</v>
      </c>
      <c r="B12086" t="s">
        <v>174</v>
      </c>
      <c r="C12086" s="2">
        <f>HYPERLINK("https://sao.dolgi.msk.ru/account/1404202834/", 1404202834)</f>
        <v>1404202834</v>
      </c>
      <c r="D12086">
        <v>-8334.19</v>
      </c>
    </row>
    <row r="12087" spans="1:4" hidden="1" x14ac:dyDescent="0.25">
      <c r="A12087" t="s">
        <v>707</v>
      </c>
      <c r="B12087" t="s">
        <v>175</v>
      </c>
      <c r="C12087" s="2">
        <f>HYPERLINK("https://sao.dolgi.msk.ru/account/1404203909/", 1404203909)</f>
        <v>1404203909</v>
      </c>
      <c r="D12087">
        <v>-5341.65</v>
      </c>
    </row>
    <row r="12088" spans="1:4" hidden="1" x14ac:dyDescent="0.25">
      <c r="A12088" t="s">
        <v>707</v>
      </c>
      <c r="B12088" t="s">
        <v>176</v>
      </c>
      <c r="C12088" s="2">
        <f>HYPERLINK("https://sao.dolgi.msk.ru/account/1404203482/", 1404203482)</f>
        <v>1404203482</v>
      </c>
      <c r="D12088">
        <v>-4111.46</v>
      </c>
    </row>
    <row r="12089" spans="1:4" hidden="1" x14ac:dyDescent="0.25">
      <c r="A12089" t="s">
        <v>707</v>
      </c>
      <c r="B12089" t="s">
        <v>177</v>
      </c>
      <c r="C12089" s="2">
        <f>HYPERLINK("https://sao.dolgi.msk.ru/account/1404202842/", 1404202842)</f>
        <v>1404202842</v>
      </c>
      <c r="D12089">
        <v>0</v>
      </c>
    </row>
    <row r="12090" spans="1:4" hidden="1" x14ac:dyDescent="0.25">
      <c r="A12090" t="s">
        <v>707</v>
      </c>
      <c r="B12090" t="s">
        <v>178</v>
      </c>
      <c r="C12090" s="2">
        <f>HYPERLINK("https://sao.dolgi.msk.ru/account/1404203984/", 1404203984)</f>
        <v>1404203984</v>
      </c>
      <c r="D12090">
        <v>-6566.83</v>
      </c>
    </row>
    <row r="12091" spans="1:4" hidden="1" x14ac:dyDescent="0.25">
      <c r="A12091" t="s">
        <v>707</v>
      </c>
      <c r="B12091" t="s">
        <v>179</v>
      </c>
      <c r="C12091" s="2">
        <f>HYPERLINK("https://sao.dolgi.msk.ru/account/1404203749/", 1404203749)</f>
        <v>1404203749</v>
      </c>
      <c r="D12091">
        <v>-4762.97</v>
      </c>
    </row>
    <row r="12092" spans="1:4" hidden="1" x14ac:dyDescent="0.25">
      <c r="A12092" t="s">
        <v>707</v>
      </c>
      <c r="B12092" t="s">
        <v>180</v>
      </c>
      <c r="C12092" s="2">
        <f>HYPERLINK("https://sao.dolgi.msk.ru/account/1404203503/", 1404203503)</f>
        <v>1404203503</v>
      </c>
      <c r="D12092">
        <v>-6778.94</v>
      </c>
    </row>
    <row r="12093" spans="1:4" hidden="1" x14ac:dyDescent="0.25">
      <c r="A12093" t="s">
        <v>707</v>
      </c>
      <c r="B12093" t="s">
        <v>181</v>
      </c>
      <c r="C12093" s="2">
        <f>HYPERLINK("https://sao.dolgi.msk.ru/account/1404203191/", 1404203191)</f>
        <v>1404203191</v>
      </c>
      <c r="D12093">
        <v>-3902.56</v>
      </c>
    </row>
    <row r="12094" spans="1:4" hidden="1" x14ac:dyDescent="0.25">
      <c r="A12094" t="s">
        <v>707</v>
      </c>
      <c r="B12094" t="s">
        <v>182</v>
      </c>
      <c r="C12094" s="2">
        <f>HYPERLINK("https://sao.dolgi.msk.ru/account/1404203079/", 1404203079)</f>
        <v>1404203079</v>
      </c>
      <c r="D12094">
        <v>-7313.8</v>
      </c>
    </row>
    <row r="12095" spans="1:4" hidden="1" x14ac:dyDescent="0.25">
      <c r="A12095" t="s">
        <v>707</v>
      </c>
      <c r="B12095" t="s">
        <v>183</v>
      </c>
      <c r="C12095" s="2">
        <f>HYPERLINK("https://sao.dolgi.msk.ru/account/1404203992/", 1404203992)</f>
        <v>1404203992</v>
      </c>
      <c r="D12095">
        <v>-5822.72</v>
      </c>
    </row>
    <row r="12096" spans="1:4" hidden="1" x14ac:dyDescent="0.25">
      <c r="A12096" t="s">
        <v>707</v>
      </c>
      <c r="B12096" t="s">
        <v>184</v>
      </c>
      <c r="C12096" s="2">
        <f>HYPERLINK("https://sao.dolgi.msk.ru/account/1404203511/", 1404203511)</f>
        <v>1404203511</v>
      </c>
      <c r="D12096">
        <v>0</v>
      </c>
    </row>
    <row r="12097" spans="1:4" hidden="1" x14ac:dyDescent="0.25">
      <c r="A12097" t="s">
        <v>707</v>
      </c>
      <c r="B12097" t="s">
        <v>185</v>
      </c>
      <c r="C12097" s="2">
        <f>HYPERLINK("https://sao.dolgi.msk.ru/account/1404203538/", 1404203538)</f>
        <v>1404203538</v>
      </c>
      <c r="D12097">
        <v>-9592.34</v>
      </c>
    </row>
    <row r="12098" spans="1:4" hidden="1" x14ac:dyDescent="0.25">
      <c r="A12098" t="s">
        <v>707</v>
      </c>
      <c r="B12098" t="s">
        <v>186</v>
      </c>
      <c r="C12098" s="2">
        <f>HYPERLINK("https://sao.dolgi.msk.ru/account/1404202869/", 1404202869)</f>
        <v>1404202869</v>
      </c>
      <c r="D12098">
        <v>0</v>
      </c>
    </row>
    <row r="12099" spans="1:4" hidden="1" x14ac:dyDescent="0.25">
      <c r="A12099" t="s">
        <v>708</v>
      </c>
      <c r="B12099" t="s">
        <v>187</v>
      </c>
      <c r="C12099" s="2">
        <f>HYPERLINK("https://sao.dolgi.msk.ru/account/1404222106/", 1404222106)</f>
        <v>1404222106</v>
      </c>
      <c r="D12099">
        <v>-3657.92</v>
      </c>
    </row>
    <row r="12100" spans="1:4" x14ac:dyDescent="0.25">
      <c r="A12100" t="s">
        <v>708</v>
      </c>
      <c r="B12100" t="s">
        <v>188</v>
      </c>
      <c r="C12100" s="2">
        <f>HYPERLINK("https://sao.dolgi.msk.ru/account/1404222026/", 1404222026)</f>
        <v>1404222026</v>
      </c>
      <c r="D12100">
        <v>8763.06</v>
      </c>
    </row>
    <row r="12101" spans="1:4" hidden="1" x14ac:dyDescent="0.25">
      <c r="A12101" t="s">
        <v>708</v>
      </c>
      <c r="B12101" t="s">
        <v>189</v>
      </c>
      <c r="C12101" s="2">
        <f>HYPERLINK("https://sao.dolgi.msk.ru/account/1404222333/", 1404222333)</f>
        <v>1404222333</v>
      </c>
      <c r="D12101">
        <v>0</v>
      </c>
    </row>
    <row r="12102" spans="1:4" x14ac:dyDescent="0.25">
      <c r="A12102" t="s">
        <v>708</v>
      </c>
      <c r="B12102" t="s">
        <v>190</v>
      </c>
      <c r="C12102" s="2">
        <f>HYPERLINK("https://sao.dolgi.msk.ru/account/1404221701/", 1404221701)</f>
        <v>1404221701</v>
      </c>
      <c r="D12102">
        <v>8902.52</v>
      </c>
    </row>
    <row r="12103" spans="1:4" hidden="1" x14ac:dyDescent="0.25">
      <c r="A12103" t="s">
        <v>708</v>
      </c>
      <c r="B12103" t="s">
        <v>191</v>
      </c>
      <c r="C12103" s="2">
        <f>HYPERLINK("https://sao.dolgi.msk.ru/account/1404222552/", 1404222552)</f>
        <v>1404222552</v>
      </c>
      <c r="D12103">
        <v>-7641.21</v>
      </c>
    </row>
    <row r="12104" spans="1:4" hidden="1" x14ac:dyDescent="0.25">
      <c r="A12104" t="s">
        <v>708</v>
      </c>
      <c r="B12104" t="s">
        <v>192</v>
      </c>
      <c r="C12104" s="2">
        <f>HYPERLINK("https://sao.dolgi.msk.ru/account/1404221728/", 1404221728)</f>
        <v>1404221728</v>
      </c>
      <c r="D12104">
        <v>-3416.04</v>
      </c>
    </row>
    <row r="12105" spans="1:4" hidden="1" x14ac:dyDescent="0.25">
      <c r="A12105" t="s">
        <v>708</v>
      </c>
      <c r="B12105" t="s">
        <v>193</v>
      </c>
      <c r="C12105" s="2">
        <f>HYPERLINK("https://sao.dolgi.msk.ru/account/1404222341/", 1404222341)</f>
        <v>1404222341</v>
      </c>
      <c r="D12105">
        <v>0</v>
      </c>
    </row>
    <row r="12106" spans="1:4" hidden="1" x14ac:dyDescent="0.25">
      <c r="A12106" t="s">
        <v>708</v>
      </c>
      <c r="B12106" t="s">
        <v>194</v>
      </c>
      <c r="C12106" s="2">
        <f>HYPERLINK("https://sao.dolgi.msk.ru/account/1404222368/", 1404222368)</f>
        <v>1404222368</v>
      </c>
      <c r="D12106">
        <v>-6067.63</v>
      </c>
    </row>
    <row r="12107" spans="1:4" hidden="1" x14ac:dyDescent="0.25">
      <c r="A12107" t="s">
        <v>708</v>
      </c>
      <c r="B12107" t="s">
        <v>195</v>
      </c>
      <c r="C12107" s="2">
        <f>HYPERLINK("https://sao.dolgi.msk.ru/account/1404222798/", 1404222798)</f>
        <v>1404222798</v>
      </c>
      <c r="D12107">
        <v>0</v>
      </c>
    </row>
    <row r="12108" spans="1:4" hidden="1" x14ac:dyDescent="0.25">
      <c r="A12108" t="s">
        <v>708</v>
      </c>
      <c r="B12108" t="s">
        <v>196</v>
      </c>
      <c r="C12108" s="2">
        <f>HYPERLINK("https://sao.dolgi.msk.ru/account/1404221613/", 1404221613)</f>
        <v>1404221613</v>
      </c>
      <c r="D12108">
        <v>-5399.81</v>
      </c>
    </row>
    <row r="12109" spans="1:4" hidden="1" x14ac:dyDescent="0.25">
      <c r="A12109" t="s">
        <v>708</v>
      </c>
      <c r="B12109" t="s">
        <v>197</v>
      </c>
      <c r="C12109" s="2">
        <f>HYPERLINK("https://sao.dolgi.msk.ru/account/1404222296/", 1404222296)</f>
        <v>1404222296</v>
      </c>
      <c r="D12109">
        <v>-5627.04</v>
      </c>
    </row>
    <row r="12110" spans="1:4" hidden="1" x14ac:dyDescent="0.25">
      <c r="A12110" t="s">
        <v>708</v>
      </c>
      <c r="B12110" t="s">
        <v>198</v>
      </c>
      <c r="C12110" s="2">
        <f>HYPERLINK("https://sao.dolgi.msk.ru/account/1404222819/", 1404222819)</f>
        <v>1404222819</v>
      </c>
      <c r="D12110">
        <v>-2994.44</v>
      </c>
    </row>
    <row r="12111" spans="1:4" hidden="1" x14ac:dyDescent="0.25">
      <c r="A12111" t="s">
        <v>708</v>
      </c>
      <c r="B12111" t="s">
        <v>199</v>
      </c>
      <c r="C12111" s="2">
        <f>HYPERLINK("https://sao.dolgi.msk.ru/account/1404222448/", 1404222448)</f>
        <v>1404222448</v>
      </c>
      <c r="D12111">
        <v>-9180.56</v>
      </c>
    </row>
    <row r="12112" spans="1:4" hidden="1" x14ac:dyDescent="0.25">
      <c r="A12112" t="s">
        <v>708</v>
      </c>
      <c r="B12112" t="s">
        <v>200</v>
      </c>
      <c r="C12112" s="2">
        <f>HYPERLINK("https://sao.dolgi.msk.ru/account/1404221795/", 1404221795)</f>
        <v>1404221795</v>
      </c>
      <c r="D12112">
        <v>0</v>
      </c>
    </row>
    <row r="12113" spans="1:4" hidden="1" x14ac:dyDescent="0.25">
      <c r="A12113" t="s">
        <v>708</v>
      </c>
      <c r="B12113" t="s">
        <v>201</v>
      </c>
      <c r="C12113" s="2">
        <f>HYPERLINK("https://sao.dolgi.msk.ru/account/1404222683/", 1404222683)</f>
        <v>1404222683</v>
      </c>
      <c r="D12113">
        <v>-3063.15</v>
      </c>
    </row>
    <row r="12114" spans="1:4" hidden="1" x14ac:dyDescent="0.25">
      <c r="A12114" t="s">
        <v>708</v>
      </c>
      <c r="B12114" t="s">
        <v>202</v>
      </c>
      <c r="C12114" s="2">
        <f>HYPERLINK("https://sao.dolgi.msk.ru/account/1404222691/", 1404222691)</f>
        <v>1404222691</v>
      </c>
      <c r="D12114">
        <v>-3223.83</v>
      </c>
    </row>
    <row r="12115" spans="1:4" hidden="1" x14ac:dyDescent="0.25">
      <c r="A12115" t="s">
        <v>708</v>
      </c>
      <c r="B12115" t="s">
        <v>202</v>
      </c>
      <c r="C12115" s="2">
        <f>HYPERLINK("https://sao.dolgi.msk.ru/account/1404222704/", 1404222704)</f>
        <v>1404222704</v>
      </c>
      <c r="D12115">
        <v>-1743.63</v>
      </c>
    </row>
    <row r="12116" spans="1:4" hidden="1" x14ac:dyDescent="0.25">
      <c r="A12116" t="s">
        <v>708</v>
      </c>
      <c r="B12116" t="s">
        <v>203</v>
      </c>
      <c r="C12116" s="2">
        <f>HYPERLINK("https://sao.dolgi.msk.ru/account/1404221947/", 1404221947)</f>
        <v>1404221947</v>
      </c>
      <c r="D12116">
        <v>-7180.38</v>
      </c>
    </row>
    <row r="12117" spans="1:4" hidden="1" x14ac:dyDescent="0.25">
      <c r="A12117" t="s">
        <v>708</v>
      </c>
      <c r="B12117" t="s">
        <v>204</v>
      </c>
      <c r="C12117" s="2">
        <f>HYPERLINK("https://sao.dolgi.msk.ru/account/1404222827/", 1404222827)</f>
        <v>1404222827</v>
      </c>
      <c r="D12117">
        <v>-3273.78</v>
      </c>
    </row>
    <row r="12118" spans="1:4" hidden="1" x14ac:dyDescent="0.25">
      <c r="A12118" t="s">
        <v>708</v>
      </c>
      <c r="B12118" t="s">
        <v>205</v>
      </c>
      <c r="C12118" s="2">
        <f>HYPERLINK("https://sao.dolgi.msk.ru/account/1404222456/", 1404222456)</f>
        <v>1404222456</v>
      </c>
      <c r="D12118">
        <v>-6088.06</v>
      </c>
    </row>
    <row r="12119" spans="1:4" x14ac:dyDescent="0.25">
      <c r="A12119" t="s">
        <v>708</v>
      </c>
      <c r="B12119" t="s">
        <v>206</v>
      </c>
      <c r="C12119" s="2">
        <f>HYPERLINK("https://sao.dolgi.msk.ru/account/1404222464/", 1404222464)</f>
        <v>1404222464</v>
      </c>
      <c r="D12119">
        <v>103255.97</v>
      </c>
    </row>
    <row r="12120" spans="1:4" hidden="1" x14ac:dyDescent="0.25">
      <c r="A12120" t="s">
        <v>708</v>
      </c>
      <c r="B12120" t="s">
        <v>207</v>
      </c>
      <c r="C12120" s="2">
        <f>HYPERLINK("https://sao.dolgi.msk.ru/account/1404221808/", 1404221808)</f>
        <v>1404221808</v>
      </c>
      <c r="D12120">
        <v>-3620.67</v>
      </c>
    </row>
    <row r="12121" spans="1:4" hidden="1" x14ac:dyDescent="0.25">
      <c r="A12121" t="s">
        <v>708</v>
      </c>
      <c r="B12121" t="s">
        <v>208</v>
      </c>
      <c r="C12121" s="2">
        <f>HYPERLINK("https://sao.dolgi.msk.ru/account/1404221621/", 1404221621)</f>
        <v>1404221621</v>
      </c>
      <c r="D12121">
        <v>-4673.07</v>
      </c>
    </row>
    <row r="12122" spans="1:4" hidden="1" x14ac:dyDescent="0.25">
      <c r="A12122" t="s">
        <v>708</v>
      </c>
      <c r="B12122" t="s">
        <v>209</v>
      </c>
      <c r="C12122" s="2">
        <f>HYPERLINK("https://sao.dolgi.msk.ru/account/1404221867/", 1404221867)</f>
        <v>1404221867</v>
      </c>
      <c r="D12122">
        <v>-3541.23</v>
      </c>
    </row>
    <row r="12123" spans="1:4" hidden="1" x14ac:dyDescent="0.25">
      <c r="A12123" t="s">
        <v>708</v>
      </c>
      <c r="B12123" t="s">
        <v>210</v>
      </c>
      <c r="C12123" s="2">
        <f>HYPERLINK("https://sao.dolgi.msk.ru/account/1404222608/", 1404222608)</f>
        <v>1404222608</v>
      </c>
      <c r="D12123">
        <v>-9504.6200000000008</v>
      </c>
    </row>
    <row r="12124" spans="1:4" hidden="1" x14ac:dyDescent="0.25">
      <c r="A12124" t="s">
        <v>708</v>
      </c>
      <c r="B12124" t="s">
        <v>211</v>
      </c>
      <c r="C12124" s="2">
        <f>HYPERLINK("https://sao.dolgi.msk.ru/account/1404222616/", 1404222616)</f>
        <v>1404222616</v>
      </c>
      <c r="D12124">
        <v>-5544.54</v>
      </c>
    </row>
    <row r="12125" spans="1:4" hidden="1" x14ac:dyDescent="0.25">
      <c r="A12125" t="s">
        <v>708</v>
      </c>
      <c r="B12125" t="s">
        <v>212</v>
      </c>
      <c r="C12125" s="2">
        <f>HYPERLINK("https://sao.dolgi.msk.ru/account/1404222624/", 1404222624)</f>
        <v>1404222624</v>
      </c>
      <c r="D12125">
        <v>-6132.98</v>
      </c>
    </row>
    <row r="12126" spans="1:4" x14ac:dyDescent="0.25">
      <c r="A12126" t="s">
        <v>708</v>
      </c>
      <c r="B12126" t="s">
        <v>213</v>
      </c>
      <c r="C12126" s="2">
        <f>HYPERLINK("https://sao.dolgi.msk.ru/account/1404222413/", 1404222413)</f>
        <v>1404222413</v>
      </c>
      <c r="D12126">
        <v>1640.1</v>
      </c>
    </row>
    <row r="12127" spans="1:4" hidden="1" x14ac:dyDescent="0.25">
      <c r="A12127" t="s">
        <v>708</v>
      </c>
      <c r="B12127" t="s">
        <v>214</v>
      </c>
      <c r="C12127" s="2">
        <f>HYPERLINK("https://sao.dolgi.msk.ru/account/1404221752/", 1404221752)</f>
        <v>1404221752</v>
      </c>
      <c r="D12127">
        <v>0</v>
      </c>
    </row>
    <row r="12128" spans="1:4" hidden="1" x14ac:dyDescent="0.25">
      <c r="A12128" t="s">
        <v>708</v>
      </c>
      <c r="B12128" t="s">
        <v>215</v>
      </c>
      <c r="C12128" s="2">
        <f>HYPERLINK("https://sao.dolgi.msk.ru/account/1404222202/", 1404222202)</f>
        <v>1404222202</v>
      </c>
      <c r="D12128">
        <v>-3736.99</v>
      </c>
    </row>
    <row r="12129" spans="1:4" hidden="1" x14ac:dyDescent="0.25">
      <c r="A12129" t="s">
        <v>708</v>
      </c>
      <c r="B12129" t="s">
        <v>216</v>
      </c>
      <c r="C12129" s="2">
        <f>HYPERLINK("https://sao.dolgi.msk.ru/account/1404222632/", 1404222632)</f>
        <v>1404222632</v>
      </c>
      <c r="D12129">
        <v>-5121.66</v>
      </c>
    </row>
    <row r="12130" spans="1:4" x14ac:dyDescent="0.25">
      <c r="A12130" t="s">
        <v>708</v>
      </c>
      <c r="B12130" t="s">
        <v>217</v>
      </c>
      <c r="C12130" s="2">
        <f>HYPERLINK("https://sao.dolgi.msk.ru/account/1404221875/", 1404221875)</f>
        <v>1404221875</v>
      </c>
      <c r="D12130">
        <v>3193.32</v>
      </c>
    </row>
    <row r="12131" spans="1:4" hidden="1" x14ac:dyDescent="0.25">
      <c r="A12131" t="s">
        <v>708</v>
      </c>
      <c r="B12131" t="s">
        <v>218</v>
      </c>
      <c r="C12131" s="2">
        <f>HYPERLINK("https://sao.dolgi.msk.ru/account/1404222309/", 1404222309)</f>
        <v>1404222309</v>
      </c>
      <c r="D12131">
        <v>-2841.13</v>
      </c>
    </row>
    <row r="12132" spans="1:4" hidden="1" x14ac:dyDescent="0.25">
      <c r="A12132" t="s">
        <v>708</v>
      </c>
      <c r="B12132" t="s">
        <v>219</v>
      </c>
      <c r="C12132" s="2">
        <f>HYPERLINK("https://sao.dolgi.msk.ru/account/1404221971/", 1404221971)</f>
        <v>1404221971</v>
      </c>
      <c r="D12132">
        <v>0</v>
      </c>
    </row>
    <row r="12133" spans="1:4" hidden="1" x14ac:dyDescent="0.25">
      <c r="A12133" t="s">
        <v>708</v>
      </c>
      <c r="B12133" t="s">
        <v>219</v>
      </c>
      <c r="C12133" s="2">
        <f>HYPERLINK("https://sao.dolgi.msk.ru/account/1404222288/", 1404222288)</f>
        <v>1404222288</v>
      </c>
      <c r="D12133">
        <v>0</v>
      </c>
    </row>
    <row r="12134" spans="1:4" hidden="1" x14ac:dyDescent="0.25">
      <c r="A12134" t="s">
        <v>708</v>
      </c>
      <c r="B12134" t="s">
        <v>220</v>
      </c>
      <c r="C12134" s="2">
        <f>HYPERLINK("https://sao.dolgi.msk.ru/account/1404222085/", 1404222085)</f>
        <v>1404222085</v>
      </c>
      <c r="D12134">
        <v>-4629.96</v>
      </c>
    </row>
    <row r="12135" spans="1:4" hidden="1" x14ac:dyDescent="0.25">
      <c r="A12135" t="s">
        <v>708</v>
      </c>
      <c r="B12135" t="s">
        <v>221</v>
      </c>
      <c r="C12135" s="2">
        <f>HYPERLINK("https://sao.dolgi.msk.ru/account/1404221998/", 1404221998)</f>
        <v>1404221998</v>
      </c>
      <c r="D12135">
        <v>-7266.01</v>
      </c>
    </row>
    <row r="12136" spans="1:4" hidden="1" x14ac:dyDescent="0.25">
      <c r="A12136" t="s">
        <v>708</v>
      </c>
      <c r="B12136" t="s">
        <v>222</v>
      </c>
      <c r="C12136" s="2">
        <f>HYPERLINK("https://sao.dolgi.msk.ru/account/1404221488/", 1404221488)</f>
        <v>1404221488</v>
      </c>
      <c r="D12136">
        <v>0</v>
      </c>
    </row>
    <row r="12137" spans="1:4" hidden="1" x14ac:dyDescent="0.25">
      <c r="A12137" t="s">
        <v>708</v>
      </c>
      <c r="B12137" t="s">
        <v>223</v>
      </c>
      <c r="C12137" s="2">
        <f>HYPERLINK("https://sao.dolgi.msk.ru/account/1404222528/", 1404222528)</f>
        <v>1404222528</v>
      </c>
      <c r="D12137">
        <v>0</v>
      </c>
    </row>
    <row r="12138" spans="1:4" hidden="1" x14ac:dyDescent="0.25">
      <c r="A12138" t="s">
        <v>708</v>
      </c>
      <c r="B12138" t="s">
        <v>224</v>
      </c>
      <c r="C12138" s="2">
        <f>HYPERLINK("https://sao.dolgi.msk.ru/account/1404221496/", 1404221496)</f>
        <v>1404221496</v>
      </c>
      <c r="D12138">
        <v>0</v>
      </c>
    </row>
    <row r="12139" spans="1:4" hidden="1" x14ac:dyDescent="0.25">
      <c r="A12139" t="s">
        <v>708</v>
      </c>
      <c r="B12139" t="s">
        <v>225</v>
      </c>
      <c r="C12139" s="2">
        <f>HYPERLINK("https://sao.dolgi.msk.ru/account/1404221672/", 1404221672)</f>
        <v>1404221672</v>
      </c>
      <c r="D12139">
        <v>-7738.48</v>
      </c>
    </row>
    <row r="12140" spans="1:4" hidden="1" x14ac:dyDescent="0.25">
      <c r="A12140" t="s">
        <v>708</v>
      </c>
      <c r="B12140" t="s">
        <v>226</v>
      </c>
      <c r="C12140" s="2">
        <f>HYPERLINK("https://sao.dolgi.msk.ru/account/1404221509/", 1404221509)</f>
        <v>1404221509</v>
      </c>
      <c r="D12140">
        <v>-6909.93</v>
      </c>
    </row>
    <row r="12141" spans="1:4" hidden="1" x14ac:dyDescent="0.25">
      <c r="A12141" t="s">
        <v>708</v>
      </c>
      <c r="B12141" t="s">
        <v>227</v>
      </c>
      <c r="C12141" s="2">
        <f>HYPERLINK("https://sao.dolgi.msk.ru/account/1404221824/", 1404221824)</f>
        <v>1404221824</v>
      </c>
      <c r="D12141">
        <v>-7762.79</v>
      </c>
    </row>
    <row r="12142" spans="1:4" hidden="1" x14ac:dyDescent="0.25">
      <c r="A12142" t="s">
        <v>708</v>
      </c>
      <c r="B12142" t="s">
        <v>228</v>
      </c>
      <c r="C12142" s="2">
        <f>HYPERLINK("https://sao.dolgi.msk.ru/account/1404222536/", 1404222536)</f>
        <v>1404222536</v>
      </c>
      <c r="D12142">
        <v>-10377.129999999999</v>
      </c>
    </row>
    <row r="12143" spans="1:4" hidden="1" x14ac:dyDescent="0.25">
      <c r="A12143" t="s">
        <v>708</v>
      </c>
      <c r="B12143" t="s">
        <v>229</v>
      </c>
      <c r="C12143" s="2">
        <f>HYPERLINK("https://sao.dolgi.msk.ru/account/1404222739/", 1404222739)</f>
        <v>1404222739</v>
      </c>
      <c r="D12143">
        <v>-3424.81</v>
      </c>
    </row>
    <row r="12144" spans="1:4" hidden="1" x14ac:dyDescent="0.25">
      <c r="A12144" t="s">
        <v>708</v>
      </c>
      <c r="B12144" t="s">
        <v>230</v>
      </c>
      <c r="C12144" s="2">
        <f>HYPERLINK("https://sao.dolgi.msk.ru/account/1404222093/", 1404222093)</f>
        <v>1404222093</v>
      </c>
      <c r="D12144">
        <v>0</v>
      </c>
    </row>
    <row r="12145" spans="1:4" hidden="1" x14ac:dyDescent="0.25">
      <c r="A12145" t="s">
        <v>708</v>
      </c>
      <c r="B12145" t="s">
        <v>231</v>
      </c>
      <c r="C12145" s="2">
        <f>HYPERLINK("https://sao.dolgi.msk.ru/account/1404221832/", 1404221832)</f>
        <v>1404221832</v>
      </c>
      <c r="D12145">
        <v>-7645.31</v>
      </c>
    </row>
    <row r="12146" spans="1:4" hidden="1" x14ac:dyDescent="0.25">
      <c r="A12146" t="s">
        <v>708</v>
      </c>
      <c r="B12146" t="s">
        <v>232</v>
      </c>
      <c r="C12146" s="2">
        <f>HYPERLINK("https://sao.dolgi.msk.ru/account/1404222018/", 1404222018)</f>
        <v>1404222018</v>
      </c>
      <c r="D12146">
        <v>-6858.17</v>
      </c>
    </row>
    <row r="12147" spans="1:4" hidden="1" x14ac:dyDescent="0.25">
      <c r="A12147" t="s">
        <v>708</v>
      </c>
      <c r="B12147" t="s">
        <v>233</v>
      </c>
      <c r="C12147" s="2">
        <f>HYPERLINK("https://sao.dolgi.msk.ru/account/1404222544/", 1404222544)</f>
        <v>1404222544</v>
      </c>
      <c r="D12147">
        <v>0</v>
      </c>
    </row>
    <row r="12148" spans="1:4" hidden="1" x14ac:dyDescent="0.25">
      <c r="A12148" t="s">
        <v>708</v>
      </c>
      <c r="B12148" t="s">
        <v>234</v>
      </c>
      <c r="C12148" s="2">
        <f>HYPERLINK("https://sao.dolgi.msk.ru/account/1404221517/", 1404221517)</f>
        <v>1404221517</v>
      </c>
      <c r="D12148">
        <v>0</v>
      </c>
    </row>
    <row r="12149" spans="1:4" hidden="1" x14ac:dyDescent="0.25">
      <c r="A12149" t="s">
        <v>708</v>
      </c>
      <c r="B12149" t="s">
        <v>235</v>
      </c>
      <c r="C12149" s="2">
        <f>HYPERLINK("https://sao.dolgi.msk.ru/account/1404222317/", 1404222317)</f>
        <v>1404222317</v>
      </c>
      <c r="D12149">
        <v>-7884.05</v>
      </c>
    </row>
    <row r="12150" spans="1:4" hidden="1" x14ac:dyDescent="0.25">
      <c r="A12150" t="s">
        <v>708</v>
      </c>
      <c r="B12150" t="s">
        <v>239</v>
      </c>
      <c r="C12150" s="2">
        <f>HYPERLINK("https://sao.dolgi.msk.ru/account/1404221699/", 1404221699)</f>
        <v>1404221699</v>
      </c>
      <c r="D12150">
        <v>0</v>
      </c>
    </row>
    <row r="12151" spans="1:4" hidden="1" x14ac:dyDescent="0.25">
      <c r="A12151" t="s">
        <v>708</v>
      </c>
      <c r="B12151" t="s">
        <v>240</v>
      </c>
      <c r="C12151" s="2">
        <f>HYPERLINK("https://sao.dolgi.msk.ru/account/1404221779/", 1404221779)</f>
        <v>1404221779</v>
      </c>
      <c r="D12151">
        <v>-6037.76</v>
      </c>
    </row>
    <row r="12152" spans="1:4" hidden="1" x14ac:dyDescent="0.25">
      <c r="A12152" t="s">
        <v>708</v>
      </c>
      <c r="B12152" t="s">
        <v>241</v>
      </c>
      <c r="C12152" s="2">
        <f>HYPERLINK("https://sao.dolgi.msk.ru/account/1404221605/", 1404221605)</f>
        <v>1404221605</v>
      </c>
      <c r="D12152">
        <v>-9079.2099999999991</v>
      </c>
    </row>
    <row r="12153" spans="1:4" x14ac:dyDescent="0.25">
      <c r="A12153" t="s">
        <v>708</v>
      </c>
      <c r="B12153" t="s">
        <v>242</v>
      </c>
      <c r="C12153" s="2">
        <f>HYPERLINK("https://sao.dolgi.msk.ru/account/1404221883/", 1404221883)</f>
        <v>1404221883</v>
      </c>
      <c r="D12153">
        <v>8235.75</v>
      </c>
    </row>
    <row r="12154" spans="1:4" hidden="1" x14ac:dyDescent="0.25">
      <c r="A12154" t="s">
        <v>708</v>
      </c>
      <c r="B12154" t="s">
        <v>243</v>
      </c>
      <c r="C12154" s="2">
        <f>HYPERLINK("https://sao.dolgi.msk.ru/account/1404221744/", 1404221744)</f>
        <v>1404221744</v>
      </c>
      <c r="D12154">
        <v>-2794.13</v>
      </c>
    </row>
    <row r="12155" spans="1:4" hidden="1" x14ac:dyDescent="0.25">
      <c r="A12155" t="s">
        <v>708</v>
      </c>
      <c r="B12155" t="s">
        <v>243</v>
      </c>
      <c r="C12155" s="2">
        <f>HYPERLINK("https://sao.dolgi.msk.ru/account/1404222659/", 1404222659)</f>
        <v>1404222659</v>
      </c>
      <c r="D12155">
        <v>-1579.83</v>
      </c>
    </row>
    <row r="12156" spans="1:4" hidden="1" x14ac:dyDescent="0.25">
      <c r="A12156" t="s">
        <v>708</v>
      </c>
      <c r="B12156" t="s">
        <v>243</v>
      </c>
      <c r="C12156" s="2">
        <f>HYPERLINK("https://sao.dolgi.msk.ru/account/1404222771/", 1404222771)</f>
        <v>1404222771</v>
      </c>
      <c r="D12156">
        <v>-399.11</v>
      </c>
    </row>
    <row r="12157" spans="1:4" x14ac:dyDescent="0.25">
      <c r="A12157" t="s">
        <v>708</v>
      </c>
      <c r="B12157" t="s">
        <v>244</v>
      </c>
      <c r="C12157" s="2">
        <f>HYPERLINK("https://sao.dolgi.msk.ru/account/1404222755/", 1404222755)</f>
        <v>1404222755</v>
      </c>
      <c r="D12157">
        <v>15984.66</v>
      </c>
    </row>
    <row r="12158" spans="1:4" hidden="1" x14ac:dyDescent="0.25">
      <c r="A12158" t="s">
        <v>708</v>
      </c>
      <c r="B12158" t="s">
        <v>245</v>
      </c>
      <c r="C12158" s="2">
        <f>HYPERLINK("https://sao.dolgi.msk.ru/account/1404222042/", 1404222042)</f>
        <v>1404222042</v>
      </c>
      <c r="D12158">
        <v>0</v>
      </c>
    </row>
    <row r="12159" spans="1:4" hidden="1" x14ac:dyDescent="0.25">
      <c r="A12159" t="s">
        <v>708</v>
      </c>
      <c r="B12159" t="s">
        <v>246</v>
      </c>
      <c r="C12159" s="2">
        <f>HYPERLINK("https://sao.dolgi.msk.ru/account/1404222667/", 1404222667)</f>
        <v>1404222667</v>
      </c>
      <c r="D12159">
        <v>-10159.94</v>
      </c>
    </row>
    <row r="12160" spans="1:4" hidden="1" x14ac:dyDescent="0.25">
      <c r="A12160" t="s">
        <v>708</v>
      </c>
      <c r="B12160" t="s">
        <v>247</v>
      </c>
      <c r="C12160" s="2">
        <f>HYPERLINK("https://sao.dolgi.msk.ru/account/1404222229/", 1404222229)</f>
        <v>1404222229</v>
      </c>
      <c r="D12160">
        <v>0</v>
      </c>
    </row>
    <row r="12161" spans="1:4" hidden="1" x14ac:dyDescent="0.25">
      <c r="A12161" t="s">
        <v>708</v>
      </c>
      <c r="B12161" t="s">
        <v>248</v>
      </c>
      <c r="C12161" s="2">
        <f>HYPERLINK("https://sao.dolgi.msk.ru/account/1404222237/", 1404222237)</f>
        <v>1404222237</v>
      </c>
      <c r="D12161">
        <v>-7336.13</v>
      </c>
    </row>
    <row r="12162" spans="1:4" hidden="1" x14ac:dyDescent="0.25">
      <c r="A12162" t="s">
        <v>708</v>
      </c>
      <c r="B12162" t="s">
        <v>249</v>
      </c>
      <c r="C12162" s="2">
        <f>HYPERLINK("https://sao.dolgi.msk.ru/account/1404222069/", 1404222069)</f>
        <v>1404222069</v>
      </c>
      <c r="D12162">
        <v>-5271.85</v>
      </c>
    </row>
    <row r="12163" spans="1:4" hidden="1" x14ac:dyDescent="0.25">
      <c r="A12163" t="s">
        <v>708</v>
      </c>
      <c r="B12163" t="s">
        <v>250</v>
      </c>
      <c r="C12163" s="2">
        <f>HYPERLINK("https://sao.dolgi.msk.ru/account/1404222245/", 1404222245)</f>
        <v>1404222245</v>
      </c>
      <c r="D12163">
        <v>-3871.52</v>
      </c>
    </row>
    <row r="12164" spans="1:4" x14ac:dyDescent="0.25">
      <c r="A12164" t="s">
        <v>708</v>
      </c>
      <c r="B12164" t="s">
        <v>251</v>
      </c>
      <c r="C12164" s="2">
        <f>HYPERLINK("https://sao.dolgi.msk.ru/account/1404221891/", 1404221891)</f>
        <v>1404221891</v>
      </c>
      <c r="D12164">
        <v>21836.720000000001</v>
      </c>
    </row>
    <row r="12165" spans="1:4" hidden="1" x14ac:dyDescent="0.25">
      <c r="A12165" t="s">
        <v>708</v>
      </c>
      <c r="B12165" t="s">
        <v>252</v>
      </c>
      <c r="C12165" s="2">
        <f>HYPERLINK("https://sao.dolgi.msk.ru/account/1404222421/", 1404222421)</f>
        <v>1404222421</v>
      </c>
      <c r="D12165">
        <v>-7518.43</v>
      </c>
    </row>
    <row r="12166" spans="1:4" hidden="1" x14ac:dyDescent="0.25">
      <c r="A12166" t="s">
        <v>708</v>
      </c>
      <c r="B12166" t="s">
        <v>253</v>
      </c>
      <c r="C12166" s="2">
        <f>HYPERLINK("https://sao.dolgi.msk.ru/account/1404221787/", 1404221787)</f>
        <v>1404221787</v>
      </c>
      <c r="D12166">
        <v>-6657.37</v>
      </c>
    </row>
    <row r="12167" spans="1:4" hidden="1" x14ac:dyDescent="0.25">
      <c r="A12167" t="s">
        <v>708</v>
      </c>
      <c r="B12167" t="s">
        <v>254</v>
      </c>
      <c r="C12167" s="2">
        <f>HYPERLINK("https://sao.dolgi.msk.ru/account/1404221904/", 1404221904)</f>
        <v>1404221904</v>
      </c>
      <c r="D12167">
        <v>-7335.4</v>
      </c>
    </row>
    <row r="12168" spans="1:4" hidden="1" x14ac:dyDescent="0.25">
      <c r="A12168" t="s">
        <v>708</v>
      </c>
      <c r="B12168" t="s">
        <v>255</v>
      </c>
      <c r="C12168" s="2">
        <f>HYPERLINK("https://sao.dolgi.msk.ru/account/1404222253/", 1404222253)</f>
        <v>1404222253</v>
      </c>
      <c r="D12168">
        <v>0</v>
      </c>
    </row>
    <row r="12169" spans="1:4" x14ac:dyDescent="0.25">
      <c r="A12169" t="s">
        <v>708</v>
      </c>
      <c r="B12169" t="s">
        <v>256</v>
      </c>
      <c r="C12169" s="2">
        <f>HYPERLINK("https://sao.dolgi.msk.ru/account/1404221912/", 1404221912)</f>
        <v>1404221912</v>
      </c>
      <c r="D12169">
        <v>17956.939999999999</v>
      </c>
    </row>
    <row r="12170" spans="1:4" hidden="1" x14ac:dyDescent="0.25">
      <c r="A12170" t="s">
        <v>708</v>
      </c>
      <c r="B12170" t="s">
        <v>257</v>
      </c>
      <c r="C12170" s="2">
        <f>HYPERLINK("https://sao.dolgi.msk.ru/account/1404222763/", 1404222763)</f>
        <v>1404222763</v>
      </c>
      <c r="D12170">
        <v>0</v>
      </c>
    </row>
    <row r="12171" spans="1:4" hidden="1" x14ac:dyDescent="0.25">
      <c r="A12171" t="s">
        <v>708</v>
      </c>
      <c r="B12171" t="s">
        <v>258</v>
      </c>
      <c r="C12171" s="2">
        <f>HYPERLINK("https://sao.dolgi.msk.ru/account/1404222675/", 1404222675)</f>
        <v>1404222675</v>
      </c>
      <c r="D12171">
        <v>0</v>
      </c>
    </row>
    <row r="12172" spans="1:4" hidden="1" x14ac:dyDescent="0.25">
      <c r="A12172" t="s">
        <v>708</v>
      </c>
      <c r="B12172" t="s">
        <v>259</v>
      </c>
      <c r="C12172" s="2">
        <f>HYPERLINK("https://sao.dolgi.msk.ru/account/1404221939/", 1404221939)</f>
        <v>1404221939</v>
      </c>
      <c r="D12172">
        <v>-4457.96</v>
      </c>
    </row>
    <row r="12173" spans="1:4" hidden="1" x14ac:dyDescent="0.25">
      <c r="A12173" t="s">
        <v>708</v>
      </c>
      <c r="B12173" t="s">
        <v>260</v>
      </c>
      <c r="C12173" s="2">
        <f>HYPERLINK("https://sao.dolgi.msk.ru/account/1404221584/", 1404221584)</f>
        <v>1404221584</v>
      </c>
      <c r="D12173">
        <v>-6726.49</v>
      </c>
    </row>
    <row r="12174" spans="1:4" hidden="1" x14ac:dyDescent="0.25">
      <c r="A12174" t="s">
        <v>708</v>
      </c>
      <c r="B12174" t="s">
        <v>261</v>
      </c>
      <c r="C12174" s="2">
        <f>HYPERLINK("https://sao.dolgi.msk.ru/account/1404222392/", 1404222392)</f>
        <v>1404222392</v>
      </c>
      <c r="D12174">
        <v>0</v>
      </c>
    </row>
    <row r="12175" spans="1:4" hidden="1" x14ac:dyDescent="0.25">
      <c r="A12175" t="s">
        <v>708</v>
      </c>
      <c r="B12175" t="s">
        <v>262</v>
      </c>
      <c r="C12175" s="2">
        <f>HYPERLINK("https://sao.dolgi.msk.ru/account/1404221859/", 1404221859)</f>
        <v>1404221859</v>
      </c>
      <c r="D12175">
        <v>-13231.55</v>
      </c>
    </row>
    <row r="12176" spans="1:4" hidden="1" x14ac:dyDescent="0.25">
      <c r="A12176" t="s">
        <v>708</v>
      </c>
      <c r="B12176" t="s">
        <v>263</v>
      </c>
      <c r="C12176" s="2">
        <f>HYPERLINK("https://sao.dolgi.msk.ru/account/1404222181/", 1404222181)</f>
        <v>1404222181</v>
      </c>
      <c r="D12176">
        <v>-3575.48</v>
      </c>
    </row>
    <row r="12177" spans="1:4" hidden="1" x14ac:dyDescent="0.25">
      <c r="A12177" t="s">
        <v>708</v>
      </c>
      <c r="B12177" t="s">
        <v>264</v>
      </c>
      <c r="C12177" s="2">
        <f>HYPERLINK("https://sao.dolgi.msk.ru/account/1404222405/", 1404222405)</f>
        <v>1404222405</v>
      </c>
      <c r="D12177">
        <v>-6735.38</v>
      </c>
    </row>
    <row r="12178" spans="1:4" hidden="1" x14ac:dyDescent="0.25">
      <c r="A12178" t="s">
        <v>708</v>
      </c>
      <c r="B12178" t="s">
        <v>265</v>
      </c>
      <c r="C12178" s="2">
        <f>HYPERLINK("https://sao.dolgi.msk.ru/account/1404222587/", 1404222587)</f>
        <v>1404222587</v>
      </c>
      <c r="D12178">
        <v>-7747.51</v>
      </c>
    </row>
    <row r="12179" spans="1:4" hidden="1" x14ac:dyDescent="0.25">
      <c r="A12179" t="s">
        <v>708</v>
      </c>
      <c r="B12179" t="s">
        <v>266</v>
      </c>
      <c r="C12179" s="2">
        <f>HYPERLINK("https://sao.dolgi.msk.ru/account/1404221592/", 1404221592)</f>
        <v>1404221592</v>
      </c>
      <c r="D12179">
        <v>-4813.33</v>
      </c>
    </row>
    <row r="12180" spans="1:4" hidden="1" x14ac:dyDescent="0.25">
      <c r="A12180" t="s">
        <v>708</v>
      </c>
      <c r="B12180" t="s">
        <v>266</v>
      </c>
      <c r="C12180" s="2">
        <f>HYPERLINK("https://sao.dolgi.msk.ru/account/1404222261/", 1404222261)</f>
        <v>1404222261</v>
      </c>
      <c r="D12180">
        <v>-1297.8</v>
      </c>
    </row>
    <row r="12181" spans="1:4" hidden="1" x14ac:dyDescent="0.25">
      <c r="A12181" t="s">
        <v>708</v>
      </c>
      <c r="B12181" t="s">
        <v>267</v>
      </c>
      <c r="C12181" s="2">
        <f>HYPERLINK("https://sao.dolgi.msk.ru/account/1404222595/", 1404222595)</f>
        <v>1404222595</v>
      </c>
      <c r="D12181">
        <v>-3346.33</v>
      </c>
    </row>
    <row r="12182" spans="1:4" hidden="1" x14ac:dyDescent="0.25">
      <c r="A12182" t="s">
        <v>708</v>
      </c>
      <c r="B12182" t="s">
        <v>268</v>
      </c>
      <c r="C12182" s="2">
        <f>HYPERLINK("https://sao.dolgi.msk.ru/account/1404222747/", 1404222747)</f>
        <v>1404222747</v>
      </c>
      <c r="D12182">
        <v>-6796.92</v>
      </c>
    </row>
    <row r="12183" spans="1:4" hidden="1" x14ac:dyDescent="0.25">
      <c r="A12183" t="s">
        <v>708</v>
      </c>
      <c r="B12183" t="s">
        <v>269</v>
      </c>
      <c r="C12183" s="2">
        <f>HYPERLINK("https://sao.dolgi.msk.ru/account/1404221525/", 1404221525)</f>
        <v>1404221525</v>
      </c>
      <c r="D12183">
        <v>-5444.32</v>
      </c>
    </row>
    <row r="12184" spans="1:4" x14ac:dyDescent="0.25">
      <c r="A12184" t="s">
        <v>708</v>
      </c>
      <c r="B12184" t="s">
        <v>270</v>
      </c>
      <c r="C12184" s="2">
        <f>HYPERLINK("https://sao.dolgi.msk.ru/account/1404221736/", 1404221736)</f>
        <v>1404221736</v>
      </c>
      <c r="D12184">
        <v>4150.37</v>
      </c>
    </row>
    <row r="12185" spans="1:4" hidden="1" x14ac:dyDescent="0.25">
      <c r="A12185" t="s">
        <v>708</v>
      </c>
      <c r="B12185" t="s">
        <v>271</v>
      </c>
      <c r="C12185" s="2">
        <f>HYPERLINK("https://sao.dolgi.msk.ru/account/1404222114/", 1404222114)</f>
        <v>1404222114</v>
      </c>
      <c r="D12185">
        <v>-3915.18</v>
      </c>
    </row>
    <row r="12186" spans="1:4" hidden="1" x14ac:dyDescent="0.25">
      <c r="A12186" t="s">
        <v>708</v>
      </c>
      <c r="B12186" t="s">
        <v>272</v>
      </c>
      <c r="C12186" s="2">
        <f>HYPERLINK("https://sao.dolgi.msk.ru/account/1404222122/", 1404222122)</f>
        <v>1404222122</v>
      </c>
      <c r="D12186">
        <v>-5774.88</v>
      </c>
    </row>
    <row r="12187" spans="1:4" x14ac:dyDescent="0.25">
      <c r="A12187" t="s">
        <v>708</v>
      </c>
      <c r="B12187" t="s">
        <v>273</v>
      </c>
      <c r="C12187" s="2">
        <f>HYPERLINK("https://sao.dolgi.msk.ru/account/1404222034/", 1404222034)</f>
        <v>1404222034</v>
      </c>
      <c r="D12187">
        <v>6139.77</v>
      </c>
    </row>
    <row r="12188" spans="1:4" hidden="1" x14ac:dyDescent="0.25">
      <c r="A12188" t="s">
        <v>708</v>
      </c>
      <c r="B12188" t="s">
        <v>274</v>
      </c>
      <c r="C12188" s="2">
        <f>HYPERLINK("https://sao.dolgi.msk.ru/account/1404222149/", 1404222149)</f>
        <v>1404222149</v>
      </c>
      <c r="D12188">
        <v>-4544.8100000000004</v>
      </c>
    </row>
    <row r="12189" spans="1:4" hidden="1" x14ac:dyDescent="0.25">
      <c r="A12189" t="s">
        <v>708</v>
      </c>
      <c r="B12189" t="s">
        <v>275</v>
      </c>
      <c r="C12189" s="2">
        <f>HYPERLINK("https://sao.dolgi.msk.ru/account/1404222376/", 1404222376)</f>
        <v>1404222376</v>
      </c>
      <c r="D12189">
        <v>-4647.55</v>
      </c>
    </row>
    <row r="12190" spans="1:4" hidden="1" x14ac:dyDescent="0.25">
      <c r="A12190" t="s">
        <v>708</v>
      </c>
      <c r="B12190" t="s">
        <v>276</v>
      </c>
      <c r="C12190" s="2">
        <f>HYPERLINK("https://sao.dolgi.msk.ru/account/1404222384/", 1404222384)</f>
        <v>1404222384</v>
      </c>
      <c r="D12190">
        <v>0</v>
      </c>
    </row>
    <row r="12191" spans="1:4" hidden="1" x14ac:dyDescent="0.25">
      <c r="A12191" t="s">
        <v>708</v>
      </c>
      <c r="B12191" t="s">
        <v>277</v>
      </c>
      <c r="C12191" s="2">
        <f>HYPERLINK("https://sao.dolgi.msk.ru/account/1404222157/", 1404222157)</f>
        <v>1404222157</v>
      </c>
      <c r="D12191">
        <v>0</v>
      </c>
    </row>
    <row r="12192" spans="1:4" hidden="1" x14ac:dyDescent="0.25">
      <c r="A12192" t="s">
        <v>708</v>
      </c>
      <c r="B12192" t="s">
        <v>278</v>
      </c>
      <c r="C12192" s="2">
        <f>HYPERLINK("https://sao.dolgi.msk.ru/account/1404221533/", 1404221533)</f>
        <v>1404221533</v>
      </c>
      <c r="D12192">
        <v>-5091.8999999999996</v>
      </c>
    </row>
    <row r="12193" spans="1:4" hidden="1" x14ac:dyDescent="0.25">
      <c r="A12193" t="s">
        <v>708</v>
      </c>
      <c r="B12193" t="s">
        <v>279</v>
      </c>
      <c r="C12193" s="2">
        <f>HYPERLINK("https://sao.dolgi.msk.ru/account/1404221541/", 1404221541)</f>
        <v>1404221541</v>
      </c>
      <c r="D12193">
        <v>-4375.3100000000004</v>
      </c>
    </row>
    <row r="12194" spans="1:4" hidden="1" x14ac:dyDescent="0.25">
      <c r="A12194" t="s">
        <v>708</v>
      </c>
      <c r="B12194" t="s">
        <v>280</v>
      </c>
      <c r="C12194" s="2">
        <f>HYPERLINK("https://sao.dolgi.msk.ru/account/1404221568/", 1404221568)</f>
        <v>1404221568</v>
      </c>
      <c r="D12194">
        <v>0</v>
      </c>
    </row>
    <row r="12195" spans="1:4" hidden="1" x14ac:dyDescent="0.25">
      <c r="A12195" t="s">
        <v>708</v>
      </c>
      <c r="B12195" t="s">
        <v>281</v>
      </c>
      <c r="C12195" s="2">
        <f>HYPERLINK("https://sao.dolgi.msk.ru/account/1404221576/", 1404221576)</f>
        <v>1404221576</v>
      </c>
      <c r="D12195">
        <v>0</v>
      </c>
    </row>
    <row r="12196" spans="1:4" hidden="1" x14ac:dyDescent="0.25">
      <c r="A12196" t="s">
        <v>708</v>
      </c>
      <c r="B12196" t="s">
        <v>282</v>
      </c>
      <c r="C12196" s="2">
        <f>HYPERLINK("https://sao.dolgi.msk.ru/account/1404222165/", 1404222165)</f>
        <v>1404222165</v>
      </c>
      <c r="D12196">
        <v>0</v>
      </c>
    </row>
    <row r="12197" spans="1:4" hidden="1" x14ac:dyDescent="0.25">
      <c r="A12197" t="s">
        <v>708</v>
      </c>
      <c r="B12197" t="s">
        <v>283</v>
      </c>
      <c r="C12197" s="2">
        <f>HYPERLINK("https://sao.dolgi.msk.ru/account/1404222173/", 1404222173)</f>
        <v>1404222173</v>
      </c>
      <c r="D12197">
        <v>-4190.43</v>
      </c>
    </row>
    <row r="12198" spans="1:4" hidden="1" x14ac:dyDescent="0.25">
      <c r="A12198" t="s">
        <v>708</v>
      </c>
      <c r="B12198" t="s">
        <v>284</v>
      </c>
      <c r="C12198" s="2">
        <f>HYPERLINK("https://sao.dolgi.msk.ru/account/1404222579/", 1404222579)</f>
        <v>1404222579</v>
      </c>
      <c r="D12198">
        <v>0</v>
      </c>
    </row>
    <row r="12199" spans="1:4" hidden="1" x14ac:dyDescent="0.25">
      <c r="A12199" t="s">
        <v>708</v>
      </c>
      <c r="B12199" t="s">
        <v>285</v>
      </c>
      <c r="C12199" s="2">
        <f>HYPERLINK("https://sao.dolgi.msk.ru/account/1404222835/", 1404222835)</f>
        <v>1404222835</v>
      </c>
      <c r="D12199">
        <v>-5842.85</v>
      </c>
    </row>
    <row r="12200" spans="1:4" hidden="1" x14ac:dyDescent="0.25">
      <c r="A12200" t="s">
        <v>708</v>
      </c>
      <c r="B12200" t="s">
        <v>286</v>
      </c>
      <c r="C12200" s="2">
        <f>HYPERLINK("https://sao.dolgi.msk.ru/account/1404221648/", 1404221648)</f>
        <v>1404221648</v>
      </c>
      <c r="D12200">
        <v>-5384.91</v>
      </c>
    </row>
    <row r="12201" spans="1:4" hidden="1" x14ac:dyDescent="0.25">
      <c r="A12201" t="s">
        <v>708</v>
      </c>
      <c r="B12201" t="s">
        <v>287</v>
      </c>
      <c r="C12201" s="2">
        <f>HYPERLINK("https://sao.dolgi.msk.ru/account/1404221656/", 1404221656)</f>
        <v>1404221656</v>
      </c>
      <c r="D12201">
        <v>-5572.83</v>
      </c>
    </row>
    <row r="12202" spans="1:4" hidden="1" x14ac:dyDescent="0.25">
      <c r="A12202" t="s">
        <v>708</v>
      </c>
      <c r="B12202" t="s">
        <v>288</v>
      </c>
      <c r="C12202" s="2">
        <f>HYPERLINK("https://sao.dolgi.msk.ru/account/1404222843/", 1404222843)</f>
        <v>1404222843</v>
      </c>
      <c r="D12202">
        <v>0</v>
      </c>
    </row>
    <row r="12203" spans="1:4" x14ac:dyDescent="0.25">
      <c r="A12203" t="s">
        <v>708</v>
      </c>
      <c r="B12203" t="s">
        <v>289</v>
      </c>
      <c r="C12203" s="2">
        <f>HYPERLINK("https://sao.dolgi.msk.ru/account/1404221816/", 1404221816)</f>
        <v>1404221816</v>
      </c>
      <c r="D12203">
        <v>4655.0600000000004</v>
      </c>
    </row>
    <row r="12204" spans="1:4" hidden="1" x14ac:dyDescent="0.25">
      <c r="A12204" t="s">
        <v>708</v>
      </c>
      <c r="B12204" t="s">
        <v>290</v>
      </c>
      <c r="C12204" s="2">
        <f>HYPERLINK("https://sao.dolgi.msk.ru/account/1404222472/", 1404222472)</f>
        <v>1404222472</v>
      </c>
      <c r="D12204">
        <v>0</v>
      </c>
    </row>
    <row r="12205" spans="1:4" hidden="1" x14ac:dyDescent="0.25">
      <c r="A12205" t="s">
        <v>708</v>
      </c>
      <c r="B12205" t="s">
        <v>291</v>
      </c>
      <c r="C12205" s="2">
        <f>HYPERLINK("https://sao.dolgi.msk.ru/account/1404222077/", 1404222077)</f>
        <v>1404222077</v>
      </c>
      <c r="D12205">
        <v>-5559.35</v>
      </c>
    </row>
    <row r="12206" spans="1:4" hidden="1" x14ac:dyDescent="0.25">
      <c r="A12206" t="s">
        <v>708</v>
      </c>
      <c r="B12206" t="s">
        <v>292</v>
      </c>
      <c r="C12206" s="2">
        <f>HYPERLINK("https://sao.dolgi.msk.ru/account/1404222499/", 1404222499)</f>
        <v>1404222499</v>
      </c>
      <c r="D12206">
        <v>-4967.49</v>
      </c>
    </row>
    <row r="12207" spans="1:4" hidden="1" x14ac:dyDescent="0.25">
      <c r="A12207" t="s">
        <v>708</v>
      </c>
      <c r="B12207" t="s">
        <v>293</v>
      </c>
      <c r="C12207" s="2">
        <f>HYPERLINK("https://sao.dolgi.msk.ru/account/1404222851/", 1404222851)</f>
        <v>1404222851</v>
      </c>
      <c r="D12207">
        <v>0</v>
      </c>
    </row>
    <row r="12208" spans="1:4" hidden="1" x14ac:dyDescent="0.25">
      <c r="A12208" t="s">
        <v>708</v>
      </c>
      <c r="B12208" t="s">
        <v>294</v>
      </c>
      <c r="C12208" s="2">
        <f>HYPERLINK("https://sao.dolgi.msk.ru/account/1404221955/", 1404221955)</f>
        <v>1404221955</v>
      </c>
      <c r="D12208">
        <v>-3528.51</v>
      </c>
    </row>
    <row r="12209" spans="1:4" hidden="1" x14ac:dyDescent="0.25">
      <c r="A12209" t="s">
        <v>708</v>
      </c>
      <c r="B12209" t="s">
        <v>295</v>
      </c>
      <c r="C12209" s="2">
        <f>HYPERLINK("https://sao.dolgi.msk.ru/account/1404222878/", 1404222878)</f>
        <v>1404222878</v>
      </c>
      <c r="D12209">
        <v>-7659.37</v>
      </c>
    </row>
    <row r="12210" spans="1:4" hidden="1" x14ac:dyDescent="0.25">
      <c r="A12210" t="s">
        <v>708</v>
      </c>
      <c r="B12210" t="s">
        <v>296</v>
      </c>
      <c r="C12210" s="2">
        <f>HYPERLINK("https://sao.dolgi.msk.ru/account/1404222501/", 1404222501)</f>
        <v>1404222501</v>
      </c>
      <c r="D12210">
        <v>-3381.8</v>
      </c>
    </row>
    <row r="12211" spans="1:4" hidden="1" x14ac:dyDescent="0.25">
      <c r="A12211" t="s">
        <v>708</v>
      </c>
      <c r="B12211" t="s">
        <v>297</v>
      </c>
      <c r="C12211" s="2">
        <f>HYPERLINK("https://sao.dolgi.msk.ru/account/1404222325/", 1404222325)</f>
        <v>1404222325</v>
      </c>
      <c r="D12211">
        <v>-4210.88</v>
      </c>
    </row>
    <row r="12212" spans="1:4" hidden="1" x14ac:dyDescent="0.25">
      <c r="A12212" t="s">
        <v>708</v>
      </c>
      <c r="B12212" t="s">
        <v>298</v>
      </c>
      <c r="C12212" s="2">
        <f>HYPERLINK("https://sao.dolgi.msk.ru/account/1404221664/", 1404221664)</f>
        <v>1404221664</v>
      </c>
      <c r="D12212">
        <v>-6769</v>
      </c>
    </row>
    <row r="12213" spans="1:4" hidden="1" x14ac:dyDescent="0.25">
      <c r="A12213" t="s">
        <v>708</v>
      </c>
      <c r="B12213" t="s">
        <v>299</v>
      </c>
      <c r="C12213" s="2">
        <f>HYPERLINK("https://sao.dolgi.msk.ru/account/1404222712/", 1404222712)</f>
        <v>1404222712</v>
      </c>
      <c r="D12213">
        <v>-280.42</v>
      </c>
    </row>
    <row r="12214" spans="1:4" hidden="1" x14ac:dyDescent="0.25">
      <c r="A12214" t="s">
        <v>708</v>
      </c>
      <c r="B12214" t="s">
        <v>300</v>
      </c>
      <c r="C12214" s="2">
        <f>HYPERLINK("https://sao.dolgi.msk.ru/account/1404221963/", 1404221963)</f>
        <v>1404221963</v>
      </c>
      <c r="D12214">
        <v>0</v>
      </c>
    </row>
    <row r="12215" spans="1:4" hidden="1" x14ac:dyDescent="0.25">
      <c r="A12215" t="s">
        <v>709</v>
      </c>
      <c r="B12215" t="s">
        <v>5</v>
      </c>
      <c r="C12215" s="2">
        <f>HYPERLINK("https://sao.dolgi.msk.ru/account/1404206421/", 1404206421)</f>
        <v>1404206421</v>
      </c>
      <c r="D12215">
        <v>0</v>
      </c>
    </row>
    <row r="12216" spans="1:4" hidden="1" x14ac:dyDescent="0.25">
      <c r="A12216" t="s">
        <v>709</v>
      </c>
      <c r="B12216" t="s">
        <v>6</v>
      </c>
      <c r="C12216" s="2">
        <f>HYPERLINK("https://sao.dolgi.msk.ru/account/1404205963/", 1404205963)</f>
        <v>1404205963</v>
      </c>
      <c r="D12216">
        <v>-3781.18</v>
      </c>
    </row>
    <row r="12217" spans="1:4" hidden="1" x14ac:dyDescent="0.25">
      <c r="A12217" t="s">
        <v>709</v>
      </c>
      <c r="B12217" t="s">
        <v>7</v>
      </c>
      <c r="C12217" s="2">
        <f>HYPERLINK("https://sao.dolgi.msk.ru/account/1404205971/", 1404205971)</f>
        <v>1404205971</v>
      </c>
      <c r="D12217">
        <v>-8321.1</v>
      </c>
    </row>
    <row r="12218" spans="1:4" hidden="1" x14ac:dyDescent="0.25">
      <c r="A12218" t="s">
        <v>709</v>
      </c>
      <c r="B12218" t="s">
        <v>8</v>
      </c>
      <c r="C12218" s="2">
        <f>HYPERLINK("https://sao.dolgi.msk.ru/account/1404206317/", 1404206317)</f>
        <v>1404206317</v>
      </c>
      <c r="D12218">
        <v>-6256.23</v>
      </c>
    </row>
    <row r="12219" spans="1:4" x14ac:dyDescent="0.25">
      <c r="A12219" t="s">
        <v>709</v>
      </c>
      <c r="B12219" t="s">
        <v>9</v>
      </c>
      <c r="C12219" s="2">
        <f>HYPERLINK("https://sao.dolgi.msk.ru/account/1404056259/", 1404056259)</f>
        <v>1404056259</v>
      </c>
      <c r="D12219">
        <v>8237.92</v>
      </c>
    </row>
    <row r="12220" spans="1:4" hidden="1" x14ac:dyDescent="0.25">
      <c r="A12220" t="s">
        <v>709</v>
      </c>
      <c r="B12220" t="s">
        <v>9</v>
      </c>
      <c r="C12220" s="2">
        <f>HYPERLINK("https://sao.dolgi.msk.ru/account/1404206501/", 1404206501)</f>
        <v>1404206501</v>
      </c>
      <c r="D12220">
        <v>0</v>
      </c>
    </row>
    <row r="12221" spans="1:4" hidden="1" x14ac:dyDescent="0.25">
      <c r="A12221" t="s">
        <v>709</v>
      </c>
      <c r="B12221" t="s">
        <v>10</v>
      </c>
      <c r="C12221" s="2">
        <f>HYPERLINK("https://sao.dolgi.msk.ru/account/1404205912/", 1404205912)</f>
        <v>1404205912</v>
      </c>
      <c r="D12221">
        <v>0</v>
      </c>
    </row>
    <row r="12222" spans="1:4" hidden="1" x14ac:dyDescent="0.25">
      <c r="A12222" t="s">
        <v>709</v>
      </c>
      <c r="B12222" t="s">
        <v>11</v>
      </c>
      <c r="C12222" s="2">
        <f>HYPERLINK("https://sao.dolgi.msk.ru/account/1404205621/", 1404205621)</f>
        <v>1404205621</v>
      </c>
      <c r="D12222">
        <v>-3477</v>
      </c>
    </row>
    <row r="12223" spans="1:4" hidden="1" x14ac:dyDescent="0.25">
      <c r="A12223" t="s">
        <v>709</v>
      </c>
      <c r="B12223" t="s">
        <v>12</v>
      </c>
      <c r="C12223" s="2">
        <f>HYPERLINK("https://sao.dolgi.msk.ru/account/1404206034/", 1404206034)</f>
        <v>1404206034</v>
      </c>
      <c r="D12223">
        <v>-8136.1</v>
      </c>
    </row>
    <row r="12224" spans="1:4" hidden="1" x14ac:dyDescent="0.25">
      <c r="A12224" t="s">
        <v>709</v>
      </c>
      <c r="B12224" t="s">
        <v>13</v>
      </c>
      <c r="C12224" s="2">
        <f>HYPERLINK("https://sao.dolgi.msk.ru/account/1404205875/", 1404205875)</f>
        <v>1404205875</v>
      </c>
      <c r="D12224">
        <v>0</v>
      </c>
    </row>
    <row r="12225" spans="1:4" hidden="1" x14ac:dyDescent="0.25">
      <c r="A12225" t="s">
        <v>709</v>
      </c>
      <c r="B12225" t="s">
        <v>14</v>
      </c>
      <c r="C12225" s="2">
        <f>HYPERLINK("https://sao.dolgi.msk.ru/account/1404206755/", 1404206755)</f>
        <v>1404206755</v>
      </c>
      <c r="D12225">
        <v>0</v>
      </c>
    </row>
    <row r="12226" spans="1:4" x14ac:dyDescent="0.25">
      <c r="A12226" t="s">
        <v>709</v>
      </c>
      <c r="B12226" t="s">
        <v>15</v>
      </c>
      <c r="C12226" s="2">
        <f>HYPERLINK("https://sao.dolgi.msk.ru/account/1404206392/", 1404206392)</f>
        <v>1404206392</v>
      </c>
      <c r="D12226">
        <v>21639.78</v>
      </c>
    </row>
    <row r="12227" spans="1:4" hidden="1" x14ac:dyDescent="0.25">
      <c r="A12227" t="s">
        <v>709</v>
      </c>
      <c r="B12227" t="s">
        <v>16</v>
      </c>
      <c r="C12227" s="2">
        <f>HYPERLINK("https://sao.dolgi.msk.ru/account/1404205752/", 1404205752)</f>
        <v>1404205752</v>
      </c>
      <c r="D12227">
        <v>-6815.53</v>
      </c>
    </row>
    <row r="12228" spans="1:4" hidden="1" x14ac:dyDescent="0.25">
      <c r="A12228" t="s">
        <v>709</v>
      </c>
      <c r="B12228" t="s">
        <v>17</v>
      </c>
      <c r="C12228" s="2">
        <f>HYPERLINK("https://sao.dolgi.msk.ru/account/1404206771/", 1404206771)</f>
        <v>1404206771</v>
      </c>
      <c r="D12228">
        <v>-4244.67</v>
      </c>
    </row>
    <row r="12229" spans="1:4" hidden="1" x14ac:dyDescent="0.25">
      <c r="A12229" t="s">
        <v>709</v>
      </c>
      <c r="B12229" t="s">
        <v>18</v>
      </c>
      <c r="C12229" s="2">
        <f>HYPERLINK("https://sao.dolgi.msk.ru/account/1404206798/", 1404206798)</f>
        <v>1404206798</v>
      </c>
      <c r="D12229">
        <v>-5098.88</v>
      </c>
    </row>
    <row r="12230" spans="1:4" hidden="1" x14ac:dyDescent="0.25">
      <c r="A12230" t="s">
        <v>709</v>
      </c>
      <c r="B12230" t="s">
        <v>19</v>
      </c>
      <c r="C12230" s="2">
        <f>HYPERLINK("https://sao.dolgi.msk.ru/account/1404205656/", 1404205656)</f>
        <v>1404205656</v>
      </c>
      <c r="D12230">
        <v>-7008.9</v>
      </c>
    </row>
    <row r="12231" spans="1:4" hidden="1" x14ac:dyDescent="0.25">
      <c r="A12231" t="s">
        <v>709</v>
      </c>
      <c r="B12231" t="s">
        <v>20</v>
      </c>
      <c r="C12231" s="2">
        <f>HYPERLINK("https://sao.dolgi.msk.ru/account/1404206405/", 1404206405)</f>
        <v>1404206405</v>
      </c>
      <c r="D12231">
        <v>-3098.52</v>
      </c>
    </row>
    <row r="12232" spans="1:4" hidden="1" x14ac:dyDescent="0.25">
      <c r="A12232" t="s">
        <v>709</v>
      </c>
      <c r="B12232" t="s">
        <v>20</v>
      </c>
      <c r="C12232" s="2">
        <f>HYPERLINK("https://sao.dolgi.msk.ru/account/1404206843/", 1404206843)</f>
        <v>1404206843</v>
      </c>
      <c r="D12232">
        <v>-2623.37</v>
      </c>
    </row>
    <row r="12233" spans="1:4" hidden="1" x14ac:dyDescent="0.25">
      <c r="A12233" t="s">
        <v>709</v>
      </c>
      <c r="B12233" t="s">
        <v>21</v>
      </c>
      <c r="C12233" s="2">
        <f>HYPERLINK("https://sao.dolgi.msk.ru/account/1404206819/", 1404206819)</f>
        <v>1404206819</v>
      </c>
      <c r="D12233">
        <v>-4846.16</v>
      </c>
    </row>
    <row r="12234" spans="1:4" x14ac:dyDescent="0.25">
      <c r="A12234" t="s">
        <v>709</v>
      </c>
      <c r="B12234" t="s">
        <v>22</v>
      </c>
      <c r="C12234" s="2">
        <f>HYPERLINK("https://sao.dolgi.msk.ru/account/1404205664/", 1404205664)</f>
        <v>1404205664</v>
      </c>
      <c r="D12234">
        <v>5154.18</v>
      </c>
    </row>
    <row r="12235" spans="1:4" hidden="1" x14ac:dyDescent="0.25">
      <c r="A12235" t="s">
        <v>709</v>
      </c>
      <c r="B12235" t="s">
        <v>23</v>
      </c>
      <c r="C12235" s="2">
        <f>HYPERLINK("https://sao.dolgi.msk.ru/account/1404206675/", 1404206675)</f>
        <v>1404206675</v>
      </c>
      <c r="D12235">
        <v>-4407.93</v>
      </c>
    </row>
    <row r="12236" spans="1:4" x14ac:dyDescent="0.25">
      <c r="A12236" t="s">
        <v>709</v>
      </c>
      <c r="B12236" t="s">
        <v>24</v>
      </c>
      <c r="C12236" s="2">
        <f>HYPERLINK("https://sao.dolgi.msk.ru/account/1404205787/", 1404205787)</f>
        <v>1404205787</v>
      </c>
      <c r="D12236">
        <v>29605.02</v>
      </c>
    </row>
    <row r="12237" spans="1:4" hidden="1" x14ac:dyDescent="0.25">
      <c r="A12237" t="s">
        <v>709</v>
      </c>
      <c r="B12237" t="s">
        <v>25</v>
      </c>
      <c r="C12237" s="2">
        <f>HYPERLINK("https://sao.dolgi.msk.ru/account/1404205605/", 1404205605)</f>
        <v>1404205605</v>
      </c>
      <c r="D12237">
        <v>-9519.25</v>
      </c>
    </row>
    <row r="12238" spans="1:4" hidden="1" x14ac:dyDescent="0.25">
      <c r="A12238" t="s">
        <v>709</v>
      </c>
      <c r="B12238" t="s">
        <v>26</v>
      </c>
      <c r="C12238" s="2">
        <f>HYPERLINK("https://sao.dolgi.msk.ru/account/1404206165/", 1404206165)</f>
        <v>1404206165</v>
      </c>
      <c r="D12238">
        <v>0</v>
      </c>
    </row>
    <row r="12239" spans="1:4" hidden="1" x14ac:dyDescent="0.25">
      <c r="A12239" t="s">
        <v>709</v>
      </c>
      <c r="B12239" t="s">
        <v>27</v>
      </c>
      <c r="C12239" s="2">
        <f>HYPERLINK("https://sao.dolgi.msk.ru/account/1404205613/", 1404205613)</f>
        <v>1404205613</v>
      </c>
      <c r="D12239">
        <v>-6776.01</v>
      </c>
    </row>
    <row r="12240" spans="1:4" x14ac:dyDescent="0.25">
      <c r="A12240" t="s">
        <v>709</v>
      </c>
      <c r="B12240" t="s">
        <v>28</v>
      </c>
      <c r="C12240" s="2">
        <f>HYPERLINK("https://sao.dolgi.msk.ru/account/1404206173/", 1404206173)</f>
        <v>1404206173</v>
      </c>
      <c r="D12240">
        <v>4026.15</v>
      </c>
    </row>
    <row r="12241" spans="1:4" hidden="1" x14ac:dyDescent="0.25">
      <c r="A12241" t="s">
        <v>709</v>
      </c>
      <c r="B12241" t="s">
        <v>29</v>
      </c>
      <c r="C12241" s="2">
        <f>HYPERLINK("https://sao.dolgi.msk.ru/account/1404206683/", 1404206683)</f>
        <v>1404206683</v>
      </c>
      <c r="D12241">
        <v>0</v>
      </c>
    </row>
    <row r="12242" spans="1:4" hidden="1" x14ac:dyDescent="0.25">
      <c r="A12242" t="s">
        <v>709</v>
      </c>
      <c r="B12242" t="s">
        <v>30</v>
      </c>
      <c r="C12242" s="2">
        <f>HYPERLINK("https://sao.dolgi.msk.ru/account/1404205795/", 1404205795)</f>
        <v>1404205795</v>
      </c>
      <c r="D12242">
        <v>0</v>
      </c>
    </row>
    <row r="12243" spans="1:4" x14ac:dyDescent="0.25">
      <c r="A12243" t="s">
        <v>709</v>
      </c>
      <c r="B12243" t="s">
        <v>31</v>
      </c>
      <c r="C12243" s="2">
        <f>HYPERLINK("https://sao.dolgi.msk.ru/account/1404205533/", 1404205533)</f>
        <v>1404205533</v>
      </c>
      <c r="D12243">
        <v>49394.57</v>
      </c>
    </row>
    <row r="12244" spans="1:4" hidden="1" x14ac:dyDescent="0.25">
      <c r="A12244" t="s">
        <v>709</v>
      </c>
      <c r="B12244" t="s">
        <v>32</v>
      </c>
      <c r="C12244" s="2">
        <f>HYPERLINK("https://sao.dolgi.msk.ru/account/1404206341/", 1404206341)</f>
        <v>1404206341</v>
      </c>
      <c r="D12244">
        <v>-7555.6</v>
      </c>
    </row>
    <row r="12245" spans="1:4" hidden="1" x14ac:dyDescent="0.25">
      <c r="A12245" t="s">
        <v>709</v>
      </c>
      <c r="B12245" t="s">
        <v>33</v>
      </c>
      <c r="C12245" s="2">
        <f>HYPERLINK("https://sao.dolgi.msk.ru/account/1404206691/", 1404206691)</f>
        <v>1404206691</v>
      </c>
      <c r="D12245">
        <v>-7873.75</v>
      </c>
    </row>
    <row r="12246" spans="1:4" hidden="1" x14ac:dyDescent="0.25">
      <c r="A12246" t="s">
        <v>709</v>
      </c>
      <c r="B12246" t="s">
        <v>34</v>
      </c>
      <c r="C12246" s="2">
        <f>HYPERLINK("https://sao.dolgi.msk.ru/account/1404205998/", 1404205998)</f>
        <v>1404205998</v>
      </c>
      <c r="D12246">
        <v>0</v>
      </c>
    </row>
    <row r="12247" spans="1:4" hidden="1" x14ac:dyDescent="0.25">
      <c r="A12247" t="s">
        <v>709</v>
      </c>
      <c r="B12247" t="s">
        <v>35</v>
      </c>
      <c r="C12247" s="2">
        <f>HYPERLINK("https://sao.dolgi.msk.ru/account/1404206018/", 1404206018)</f>
        <v>1404206018</v>
      </c>
      <c r="D12247">
        <v>-2874.69</v>
      </c>
    </row>
    <row r="12248" spans="1:4" x14ac:dyDescent="0.25">
      <c r="A12248" t="s">
        <v>709</v>
      </c>
      <c r="B12248" t="s">
        <v>36</v>
      </c>
      <c r="C12248" s="2">
        <f>HYPERLINK("https://sao.dolgi.msk.ru/account/1404205541/", 1404205541)</f>
        <v>1404205541</v>
      </c>
      <c r="D12248">
        <v>26637.9</v>
      </c>
    </row>
    <row r="12249" spans="1:4" x14ac:dyDescent="0.25">
      <c r="A12249" t="s">
        <v>709</v>
      </c>
      <c r="B12249" t="s">
        <v>36</v>
      </c>
      <c r="C12249" s="2">
        <f>HYPERLINK("https://sao.dolgi.msk.ru/account/1404205808/", 1404205808)</f>
        <v>1404205808</v>
      </c>
      <c r="D12249">
        <v>3229.67</v>
      </c>
    </row>
    <row r="12250" spans="1:4" hidden="1" x14ac:dyDescent="0.25">
      <c r="A12250" t="s">
        <v>709</v>
      </c>
      <c r="B12250" t="s">
        <v>36</v>
      </c>
      <c r="C12250" s="2">
        <f>HYPERLINK("https://sao.dolgi.msk.ru/account/1404205904/", 1404205904)</f>
        <v>1404205904</v>
      </c>
      <c r="D12250">
        <v>-2106.29</v>
      </c>
    </row>
    <row r="12251" spans="1:4" hidden="1" x14ac:dyDescent="0.25">
      <c r="A12251" t="s">
        <v>709</v>
      </c>
      <c r="B12251" t="s">
        <v>37</v>
      </c>
      <c r="C12251" s="2">
        <f>HYPERLINK("https://sao.dolgi.msk.ru/account/1404205816/", 1404205816)</f>
        <v>1404205816</v>
      </c>
      <c r="D12251">
        <v>-6149.23</v>
      </c>
    </row>
    <row r="12252" spans="1:4" x14ac:dyDescent="0.25">
      <c r="A12252" t="s">
        <v>709</v>
      </c>
      <c r="B12252" t="s">
        <v>38</v>
      </c>
      <c r="C12252" s="2">
        <f>HYPERLINK("https://sao.dolgi.msk.ru/account/1404206181/", 1404206181)</f>
        <v>1404206181</v>
      </c>
      <c r="D12252">
        <v>27058.959999999999</v>
      </c>
    </row>
    <row r="12253" spans="1:4" hidden="1" x14ac:dyDescent="0.25">
      <c r="A12253" t="s">
        <v>709</v>
      </c>
      <c r="B12253" t="s">
        <v>39</v>
      </c>
      <c r="C12253" s="2">
        <f>HYPERLINK("https://sao.dolgi.msk.ru/account/1404206528/", 1404206528)</f>
        <v>1404206528</v>
      </c>
      <c r="D12253">
        <v>-3362.8</v>
      </c>
    </row>
    <row r="12254" spans="1:4" hidden="1" x14ac:dyDescent="0.25">
      <c r="A12254" t="s">
        <v>709</v>
      </c>
      <c r="B12254" t="s">
        <v>40</v>
      </c>
      <c r="C12254" s="2">
        <f>HYPERLINK("https://sao.dolgi.msk.ru/account/1404206122/", 1404206122)</f>
        <v>1404206122</v>
      </c>
      <c r="D12254">
        <v>-307.33</v>
      </c>
    </row>
    <row r="12255" spans="1:4" hidden="1" x14ac:dyDescent="0.25">
      <c r="A12255" t="s">
        <v>709</v>
      </c>
      <c r="B12255" t="s">
        <v>41</v>
      </c>
      <c r="C12255" s="2">
        <f>HYPERLINK("https://sao.dolgi.msk.ru/account/1404206464/", 1404206464)</f>
        <v>1404206464</v>
      </c>
      <c r="D12255">
        <v>-4115.88</v>
      </c>
    </row>
    <row r="12256" spans="1:4" hidden="1" x14ac:dyDescent="0.25">
      <c r="A12256" t="s">
        <v>709</v>
      </c>
      <c r="B12256" t="s">
        <v>42</v>
      </c>
      <c r="C12256" s="2">
        <f>HYPERLINK("https://sao.dolgi.msk.ru/account/1404206309/", 1404206309)</f>
        <v>1404206309</v>
      </c>
      <c r="D12256">
        <v>-5046.66</v>
      </c>
    </row>
    <row r="12257" spans="1:4" x14ac:dyDescent="0.25">
      <c r="A12257" t="s">
        <v>709</v>
      </c>
      <c r="B12257" t="s">
        <v>43</v>
      </c>
      <c r="C12257" s="2">
        <f>HYPERLINK("https://sao.dolgi.msk.ru/account/1404205701/", 1404205701)</f>
        <v>1404205701</v>
      </c>
      <c r="D12257">
        <v>124855.79</v>
      </c>
    </row>
    <row r="12258" spans="1:4" hidden="1" x14ac:dyDescent="0.25">
      <c r="A12258" t="s">
        <v>709</v>
      </c>
      <c r="B12258" t="s">
        <v>44</v>
      </c>
      <c r="C12258" s="2">
        <f>HYPERLINK("https://sao.dolgi.msk.ru/account/1404205939/", 1404205939)</f>
        <v>1404205939</v>
      </c>
      <c r="D12258">
        <v>-4249.55</v>
      </c>
    </row>
    <row r="12259" spans="1:4" hidden="1" x14ac:dyDescent="0.25">
      <c r="A12259" t="s">
        <v>709</v>
      </c>
      <c r="B12259" t="s">
        <v>45</v>
      </c>
      <c r="C12259" s="2">
        <f>HYPERLINK("https://sao.dolgi.msk.ru/account/1404205728/", 1404205728)</f>
        <v>1404205728</v>
      </c>
      <c r="D12259">
        <v>-5374.64</v>
      </c>
    </row>
    <row r="12260" spans="1:4" hidden="1" x14ac:dyDescent="0.25">
      <c r="A12260" t="s">
        <v>709</v>
      </c>
      <c r="B12260" t="s">
        <v>46</v>
      </c>
      <c r="C12260" s="2">
        <f>HYPERLINK("https://sao.dolgi.msk.ru/account/1404206472/", 1404206472)</f>
        <v>1404206472</v>
      </c>
      <c r="D12260">
        <v>-9574.49</v>
      </c>
    </row>
    <row r="12261" spans="1:4" hidden="1" x14ac:dyDescent="0.25">
      <c r="A12261" t="s">
        <v>709</v>
      </c>
      <c r="B12261" t="s">
        <v>47</v>
      </c>
      <c r="C12261" s="2">
        <f>HYPERLINK("https://sao.dolgi.msk.ru/account/1404206149/", 1404206149)</f>
        <v>1404206149</v>
      </c>
      <c r="D12261">
        <v>-6602.04</v>
      </c>
    </row>
    <row r="12262" spans="1:4" hidden="1" x14ac:dyDescent="0.25">
      <c r="A12262" t="s">
        <v>709</v>
      </c>
      <c r="B12262" t="s">
        <v>48</v>
      </c>
      <c r="C12262" s="2">
        <f>HYPERLINK("https://sao.dolgi.msk.ru/account/1404205947/", 1404205947)</f>
        <v>1404205947</v>
      </c>
      <c r="D12262">
        <v>-11340.54</v>
      </c>
    </row>
    <row r="12263" spans="1:4" x14ac:dyDescent="0.25">
      <c r="A12263" t="s">
        <v>709</v>
      </c>
      <c r="B12263" t="s">
        <v>49</v>
      </c>
      <c r="C12263" s="2">
        <f>HYPERLINK("https://sao.dolgi.msk.ru/account/1404206499/", 1404206499)</f>
        <v>1404206499</v>
      </c>
      <c r="D12263">
        <v>22555.8</v>
      </c>
    </row>
    <row r="12264" spans="1:4" hidden="1" x14ac:dyDescent="0.25">
      <c r="A12264" t="s">
        <v>709</v>
      </c>
      <c r="B12264" t="s">
        <v>50</v>
      </c>
      <c r="C12264" s="2">
        <f>HYPERLINK("https://sao.dolgi.msk.ru/account/1404206325/", 1404206325)</f>
        <v>1404206325</v>
      </c>
      <c r="D12264">
        <v>-4895.3599999999997</v>
      </c>
    </row>
    <row r="12265" spans="1:4" hidden="1" x14ac:dyDescent="0.25">
      <c r="A12265" t="s">
        <v>709</v>
      </c>
      <c r="B12265" t="s">
        <v>51</v>
      </c>
      <c r="C12265" s="2">
        <f>HYPERLINK("https://sao.dolgi.msk.ru/account/1404206659/", 1404206659)</f>
        <v>1404206659</v>
      </c>
      <c r="D12265">
        <v>-5145.2700000000004</v>
      </c>
    </row>
    <row r="12266" spans="1:4" hidden="1" x14ac:dyDescent="0.25">
      <c r="A12266" t="s">
        <v>709</v>
      </c>
      <c r="B12266" t="s">
        <v>52</v>
      </c>
      <c r="C12266" s="2">
        <f>HYPERLINK("https://sao.dolgi.msk.ru/account/1404206157/", 1404206157)</f>
        <v>1404206157</v>
      </c>
      <c r="D12266">
        <v>-4757.45</v>
      </c>
    </row>
    <row r="12267" spans="1:4" hidden="1" x14ac:dyDescent="0.25">
      <c r="A12267" t="s">
        <v>709</v>
      </c>
      <c r="B12267" t="s">
        <v>53</v>
      </c>
      <c r="C12267" s="2">
        <f>HYPERLINK("https://sao.dolgi.msk.ru/account/1404205955/", 1404205955)</f>
        <v>1404205955</v>
      </c>
      <c r="D12267">
        <v>0</v>
      </c>
    </row>
    <row r="12268" spans="1:4" x14ac:dyDescent="0.25">
      <c r="A12268" t="s">
        <v>709</v>
      </c>
      <c r="B12268" t="s">
        <v>54</v>
      </c>
      <c r="C12268" s="2">
        <f>HYPERLINK("https://sao.dolgi.msk.ru/account/1404205509/", 1404205509)</f>
        <v>1404205509</v>
      </c>
      <c r="D12268">
        <v>9811.82</v>
      </c>
    </row>
    <row r="12269" spans="1:4" hidden="1" x14ac:dyDescent="0.25">
      <c r="A12269" t="s">
        <v>709</v>
      </c>
      <c r="B12269" t="s">
        <v>55</v>
      </c>
      <c r="C12269" s="2">
        <f>HYPERLINK("https://sao.dolgi.msk.ru/account/1404205736/", 1404205736)</f>
        <v>1404205736</v>
      </c>
      <c r="D12269">
        <v>-3970.5</v>
      </c>
    </row>
    <row r="12270" spans="1:4" hidden="1" x14ac:dyDescent="0.25">
      <c r="A12270" t="s">
        <v>709</v>
      </c>
      <c r="B12270" t="s">
        <v>56</v>
      </c>
      <c r="C12270" s="2">
        <f>HYPERLINK("https://sao.dolgi.msk.ru/account/1404206616/", 1404206616)</f>
        <v>1404206616</v>
      </c>
      <c r="D12270">
        <v>-8814.86</v>
      </c>
    </row>
    <row r="12271" spans="1:4" x14ac:dyDescent="0.25">
      <c r="A12271" t="s">
        <v>709</v>
      </c>
      <c r="B12271" t="s">
        <v>57</v>
      </c>
      <c r="C12271" s="2">
        <f>HYPERLINK("https://sao.dolgi.msk.ru/account/1404206333/", 1404206333)</f>
        <v>1404206333</v>
      </c>
      <c r="D12271">
        <v>35682.550000000003</v>
      </c>
    </row>
    <row r="12272" spans="1:4" x14ac:dyDescent="0.25">
      <c r="A12272" t="s">
        <v>709</v>
      </c>
      <c r="B12272" t="s">
        <v>58</v>
      </c>
      <c r="C12272" s="2">
        <f>HYPERLINK("https://sao.dolgi.msk.ru/account/1404206667/", 1404206667)</f>
        <v>1404206667</v>
      </c>
      <c r="D12272">
        <v>11431.41</v>
      </c>
    </row>
    <row r="12273" spans="1:4" hidden="1" x14ac:dyDescent="0.25">
      <c r="A12273" t="s">
        <v>709</v>
      </c>
      <c r="B12273" t="s">
        <v>59</v>
      </c>
      <c r="C12273" s="2">
        <f>HYPERLINK("https://sao.dolgi.msk.ru/account/1404206851/", 1404206851)</f>
        <v>1404206851</v>
      </c>
      <c r="D12273">
        <v>0</v>
      </c>
    </row>
    <row r="12274" spans="1:4" hidden="1" x14ac:dyDescent="0.25">
      <c r="A12274" t="s">
        <v>709</v>
      </c>
      <c r="B12274" t="s">
        <v>60</v>
      </c>
      <c r="C12274" s="2">
        <f>HYPERLINK("https://sao.dolgi.msk.ru/account/1404206448/", 1404206448)</f>
        <v>1404206448</v>
      </c>
      <c r="D12274">
        <v>0</v>
      </c>
    </row>
    <row r="12275" spans="1:4" hidden="1" x14ac:dyDescent="0.25">
      <c r="A12275" t="s">
        <v>709</v>
      </c>
      <c r="B12275" t="s">
        <v>61</v>
      </c>
      <c r="C12275" s="2">
        <f>HYPERLINK("https://sao.dolgi.msk.ru/account/1404205699/", 1404205699)</f>
        <v>1404205699</v>
      </c>
      <c r="D12275">
        <v>-4930.18</v>
      </c>
    </row>
    <row r="12276" spans="1:4" hidden="1" x14ac:dyDescent="0.25">
      <c r="A12276" t="s">
        <v>709</v>
      </c>
      <c r="B12276" t="s">
        <v>62</v>
      </c>
      <c r="C12276" s="2">
        <f>HYPERLINK("https://sao.dolgi.msk.ru/account/1404206456/", 1404206456)</f>
        <v>1404206456</v>
      </c>
      <c r="D12276">
        <v>-3574.98</v>
      </c>
    </row>
    <row r="12277" spans="1:4" hidden="1" x14ac:dyDescent="0.25">
      <c r="A12277" t="s">
        <v>709</v>
      </c>
      <c r="B12277" t="s">
        <v>63</v>
      </c>
      <c r="C12277" s="2">
        <f>HYPERLINK("https://sao.dolgi.msk.ru/account/1404206624/", 1404206624)</f>
        <v>1404206624</v>
      </c>
      <c r="D12277">
        <v>-3801.59</v>
      </c>
    </row>
    <row r="12278" spans="1:4" hidden="1" x14ac:dyDescent="0.25">
      <c r="A12278" t="s">
        <v>709</v>
      </c>
      <c r="B12278" t="s">
        <v>64</v>
      </c>
      <c r="C12278" s="2">
        <f>HYPERLINK("https://sao.dolgi.msk.ru/account/1404206632/", 1404206632)</f>
        <v>1404206632</v>
      </c>
      <c r="D12278">
        <v>-6403.99</v>
      </c>
    </row>
    <row r="12279" spans="1:4" hidden="1" x14ac:dyDescent="0.25">
      <c r="A12279" t="s">
        <v>709</v>
      </c>
      <c r="B12279" t="s">
        <v>65</v>
      </c>
      <c r="C12279" s="2">
        <f>HYPERLINK("https://sao.dolgi.msk.ru/account/1404205517/", 1404205517)</f>
        <v>1404205517</v>
      </c>
      <c r="D12279">
        <v>0</v>
      </c>
    </row>
    <row r="12280" spans="1:4" hidden="1" x14ac:dyDescent="0.25">
      <c r="A12280" t="s">
        <v>709</v>
      </c>
      <c r="B12280" t="s">
        <v>65</v>
      </c>
      <c r="C12280" s="2">
        <f>HYPERLINK("https://sao.dolgi.msk.ru/account/1404205744/", 1404205744)</f>
        <v>1404205744</v>
      </c>
      <c r="D12280">
        <v>0</v>
      </c>
    </row>
    <row r="12281" spans="1:4" x14ac:dyDescent="0.25">
      <c r="A12281" t="s">
        <v>709</v>
      </c>
      <c r="B12281" t="s">
        <v>66</v>
      </c>
      <c r="C12281" s="2">
        <f>HYPERLINK("https://sao.dolgi.msk.ru/account/1404205779/", 1404205779)</f>
        <v>1404205779</v>
      </c>
      <c r="D12281">
        <v>5301.76</v>
      </c>
    </row>
    <row r="12282" spans="1:4" hidden="1" x14ac:dyDescent="0.25">
      <c r="A12282" t="s">
        <v>709</v>
      </c>
      <c r="B12282" t="s">
        <v>67</v>
      </c>
      <c r="C12282" s="2">
        <f>HYPERLINK("https://sao.dolgi.msk.ru/account/1404205525/", 1404205525)</f>
        <v>1404205525</v>
      </c>
      <c r="D12282">
        <v>0</v>
      </c>
    </row>
    <row r="12283" spans="1:4" hidden="1" x14ac:dyDescent="0.25">
      <c r="A12283" t="s">
        <v>709</v>
      </c>
      <c r="B12283" t="s">
        <v>68</v>
      </c>
      <c r="C12283" s="2">
        <f>HYPERLINK("https://sao.dolgi.msk.ru/account/1404206536/", 1404206536)</f>
        <v>1404206536</v>
      </c>
      <c r="D12283">
        <v>-8303.01</v>
      </c>
    </row>
    <row r="12284" spans="1:4" hidden="1" x14ac:dyDescent="0.25">
      <c r="A12284" t="s">
        <v>709</v>
      </c>
      <c r="B12284" t="s">
        <v>69</v>
      </c>
      <c r="C12284" s="2">
        <f>HYPERLINK("https://sao.dolgi.msk.ru/account/1404205824/", 1404205824)</f>
        <v>1404205824</v>
      </c>
      <c r="D12284">
        <v>-6972.32</v>
      </c>
    </row>
    <row r="12285" spans="1:4" hidden="1" x14ac:dyDescent="0.25">
      <c r="A12285" t="s">
        <v>709</v>
      </c>
      <c r="B12285" t="s">
        <v>70</v>
      </c>
      <c r="C12285" s="2">
        <f>HYPERLINK("https://sao.dolgi.msk.ru/account/1404206026/", 1404206026)</f>
        <v>1404206026</v>
      </c>
      <c r="D12285">
        <v>-2911.67</v>
      </c>
    </row>
    <row r="12286" spans="1:4" hidden="1" x14ac:dyDescent="0.25">
      <c r="A12286" t="s">
        <v>709</v>
      </c>
      <c r="B12286" t="s">
        <v>71</v>
      </c>
      <c r="C12286" s="2">
        <f>HYPERLINK("https://sao.dolgi.msk.ru/account/1404206544/", 1404206544)</f>
        <v>1404206544</v>
      </c>
      <c r="D12286">
        <v>-2386.66</v>
      </c>
    </row>
    <row r="12287" spans="1:4" hidden="1" x14ac:dyDescent="0.25">
      <c r="A12287" t="s">
        <v>709</v>
      </c>
      <c r="B12287" t="s">
        <v>72</v>
      </c>
      <c r="C12287" s="2">
        <f>HYPERLINK("https://sao.dolgi.msk.ru/account/1404206368/", 1404206368)</f>
        <v>1404206368</v>
      </c>
      <c r="D12287">
        <v>-3983.02</v>
      </c>
    </row>
    <row r="12288" spans="1:4" hidden="1" x14ac:dyDescent="0.25">
      <c r="A12288" t="s">
        <v>709</v>
      </c>
      <c r="B12288" t="s">
        <v>73</v>
      </c>
      <c r="C12288" s="2">
        <f>HYPERLINK("https://sao.dolgi.msk.ru/account/1404205832/", 1404205832)</f>
        <v>1404205832</v>
      </c>
      <c r="D12288">
        <v>-2772.31</v>
      </c>
    </row>
    <row r="12289" spans="1:4" hidden="1" x14ac:dyDescent="0.25">
      <c r="A12289" t="s">
        <v>709</v>
      </c>
      <c r="B12289" t="s">
        <v>73</v>
      </c>
      <c r="C12289" s="2">
        <f>HYPERLINK("https://sao.dolgi.msk.ru/account/1404206202/", 1404206202)</f>
        <v>1404206202</v>
      </c>
      <c r="D12289">
        <v>-3296.75</v>
      </c>
    </row>
    <row r="12290" spans="1:4" hidden="1" x14ac:dyDescent="0.25">
      <c r="A12290" t="s">
        <v>709</v>
      </c>
      <c r="B12290" t="s">
        <v>74</v>
      </c>
      <c r="C12290" s="2">
        <f>HYPERLINK("https://sao.dolgi.msk.ru/account/1404206552/", 1404206552)</f>
        <v>1404206552</v>
      </c>
      <c r="D12290">
        <v>0</v>
      </c>
    </row>
    <row r="12291" spans="1:4" hidden="1" x14ac:dyDescent="0.25">
      <c r="A12291" t="s">
        <v>709</v>
      </c>
      <c r="B12291" t="s">
        <v>75</v>
      </c>
      <c r="C12291" s="2">
        <f>HYPERLINK("https://sao.dolgi.msk.ru/account/1404206229/", 1404206229)</f>
        <v>1404206229</v>
      </c>
      <c r="D12291">
        <v>-550.89</v>
      </c>
    </row>
    <row r="12292" spans="1:4" x14ac:dyDescent="0.25">
      <c r="A12292" t="s">
        <v>709</v>
      </c>
      <c r="B12292" t="s">
        <v>76</v>
      </c>
      <c r="C12292" s="2">
        <f>HYPERLINK("https://sao.dolgi.msk.ru/account/1404205859/", 1404205859)</f>
        <v>1404205859</v>
      </c>
      <c r="D12292">
        <v>7922.59</v>
      </c>
    </row>
    <row r="12293" spans="1:4" x14ac:dyDescent="0.25">
      <c r="A12293" t="s">
        <v>709</v>
      </c>
      <c r="B12293" t="s">
        <v>76</v>
      </c>
      <c r="C12293" s="2">
        <f>HYPERLINK("https://sao.dolgi.msk.ru/account/1404206114/", 1404206114)</f>
        <v>1404206114</v>
      </c>
      <c r="D12293">
        <v>27590.03</v>
      </c>
    </row>
    <row r="12294" spans="1:4" x14ac:dyDescent="0.25">
      <c r="A12294" t="s">
        <v>709</v>
      </c>
      <c r="B12294" t="s">
        <v>76</v>
      </c>
      <c r="C12294" s="2">
        <f>HYPERLINK("https://sao.dolgi.msk.ru/account/1404206237/", 1404206237)</f>
        <v>1404206237</v>
      </c>
      <c r="D12294">
        <v>10968.9</v>
      </c>
    </row>
    <row r="12295" spans="1:4" hidden="1" x14ac:dyDescent="0.25">
      <c r="A12295" t="s">
        <v>709</v>
      </c>
      <c r="B12295" t="s">
        <v>77</v>
      </c>
      <c r="C12295" s="2">
        <f>HYPERLINK("https://sao.dolgi.msk.ru/account/1404206376/", 1404206376)</f>
        <v>1404206376</v>
      </c>
      <c r="D12295">
        <v>-5386.46</v>
      </c>
    </row>
    <row r="12296" spans="1:4" hidden="1" x14ac:dyDescent="0.25">
      <c r="A12296" t="s">
        <v>709</v>
      </c>
      <c r="B12296" t="s">
        <v>78</v>
      </c>
      <c r="C12296" s="2">
        <f>HYPERLINK("https://sao.dolgi.msk.ru/account/1404206579/", 1404206579)</f>
        <v>1404206579</v>
      </c>
      <c r="D12296">
        <v>0</v>
      </c>
    </row>
    <row r="12297" spans="1:4" hidden="1" x14ac:dyDescent="0.25">
      <c r="A12297" t="s">
        <v>709</v>
      </c>
      <c r="B12297" t="s">
        <v>79</v>
      </c>
      <c r="C12297" s="2">
        <f>HYPERLINK("https://sao.dolgi.msk.ru/account/1404206384/", 1404206384)</f>
        <v>1404206384</v>
      </c>
      <c r="D12297">
        <v>-1899.67</v>
      </c>
    </row>
    <row r="12298" spans="1:4" hidden="1" x14ac:dyDescent="0.25">
      <c r="A12298" t="s">
        <v>709</v>
      </c>
      <c r="B12298" t="s">
        <v>79</v>
      </c>
      <c r="C12298" s="2">
        <f>HYPERLINK("https://sao.dolgi.msk.ru/account/1404206704/", 1404206704)</f>
        <v>1404206704</v>
      </c>
      <c r="D12298">
        <v>-4287.42</v>
      </c>
    </row>
    <row r="12299" spans="1:4" hidden="1" x14ac:dyDescent="0.25">
      <c r="A12299" t="s">
        <v>709</v>
      </c>
      <c r="B12299" t="s">
        <v>80</v>
      </c>
      <c r="C12299" s="2">
        <f>HYPERLINK("https://sao.dolgi.msk.ru/account/1404205592/", 1404205592)</f>
        <v>1404205592</v>
      </c>
      <c r="D12299">
        <v>-55.23</v>
      </c>
    </row>
    <row r="12300" spans="1:4" hidden="1" x14ac:dyDescent="0.25">
      <c r="A12300" t="s">
        <v>709</v>
      </c>
      <c r="B12300" t="s">
        <v>81</v>
      </c>
      <c r="C12300" s="2">
        <f>HYPERLINK("https://sao.dolgi.msk.ru/account/1404206712/", 1404206712)</f>
        <v>1404206712</v>
      </c>
      <c r="D12300">
        <v>-29639.32</v>
      </c>
    </row>
    <row r="12301" spans="1:4" hidden="1" x14ac:dyDescent="0.25">
      <c r="A12301" t="s">
        <v>709</v>
      </c>
      <c r="B12301" t="s">
        <v>82</v>
      </c>
      <c r="C12301" s="2">
        <f>HYPERLINK("https://sao.dolgi.msk.ru/account/1404205648/", 1404205648)</f>
        <v>1404205648</v>
      </c>
      <c r="D12301">
        <v>-2330.67</v>
      </c>
    </row>
    <row r="12302" spans="1:4" hidden="1" x14ac:dyDescent="0.25">
      <c r="A12302" t="s">
        <v>709</v>
      </c>
      <c r="B12302" t="s">
        <v>83</v>
      </c>
      <c r="C12302" s="2">
        <f>HYPERLINK("https://sao.dolgi.msk.ru/account/1404206739/", 1404206739)</f>
        <v>1404206739</v>
      </c>
      <c r="D12302">
        <v>0</v>
      </c>
    </row>
    <row r="12303" spans="1:4" hidden="1" x14ac:dyDescent="0.25">
      <c r="A12303" t="s">
        <v>709</v>
      </c>
      <c r="B12303" t="s">
        <v>84</v>
      </c>
      <c r="C12303" s="2">
        <f>HYPERLINK("https://sao.dolgi.msk.ru/account/1404206245/", 1404206245)</f>
        <v>1404206245</v>
      </c>
      <c r="D12303">
        <v>-10135.73</v>
      </c>
    </row>
    <row r="12304" spans="1:4" hidden="1" x14ac:dyDescent="0.25">
      <c r="A12304" t="s">
        <v>709</v>
      </c>
      <c r="B12304" t="s">
        <v>85</v>
      </c>
      <c r="C12304" s="2">
        <f>HYPERLINK("https://sao.dolgi.msk.ru/account/1404206747/", 1404206747)</f>
        <v>1404206747</v>
      </c>
      <c r="D12304">
        <v>-5670.01</v>
      </c>
    </row>
    <row r="12305" spans="1:4" hidden="1" x14ac:dyDescent="0.25">
      <c r="A12305" t="s">
        <v>709</v>
      </c>
      <c r="B12305" t="s">
        <v>86</v>
      </c>
      <c r="C12305" s="2">
        <f>HYPERLINK("https://sao.dolgi.msk.ru/account/1404206042/", 1404206042)</f>
        <v>1404206042</v>
      </c>
      <c r="D12305">
        <v>-5498.89</v>
      </c>
    </row>
    <row r="12306" spans="1:4" x14ac:dyDescent="0.25">
      <c r="A12306" t="s">
        <v>709</v>
      </c>
      <c r="B12306" t="s">
        <v>87</v>
      </c>
      <c r="C12306" s="2">
        <f>HYPERLINK("https://sao.dolgi.msk.ru/account/1404206587/", 1404206587)</f>
        <v>1404206587</v>
      </c>
      <c r="D12306">
        <v>11266.28</v>
      </c>
    </row>
    <row r="12307" spans="1:4" hidden="1" x14ac:dyDescent="0.25">
      <c r="A12307" t="s">
        <v>709</v>
      </c>
      <c r="B12307" t="s">
        <v>88</v>
      </c>
      <c r="C12307" s="2">
        <f>HYPERLINK("https://sao.dolgi.msk.ru/account/1404206253/", 1404206253)</f>
        <v>1404206253</v>
      </c>
      <c r="D12307">
        <v>0</v>
      </c>
    </row>
    <row r="12308" spans="1:4" hidden="1" x14ac:dyDescent="0.25">
      <c r="A12308" t="s">
        <v>709</v>
      </c>
      <c r="B12308" t="s">
        <v>89</v>
      </c>
      <c r="C12308" s="2">
        <f>HYPERLINK("https://sao.dolgi.msk.ru/account/1404206827/", 1404206827)</f>
        <v>1404206827</v>
      </c>
      <c r="D12308">
        <v>-4628.6899999999996</v>
      </c>
    </row>
    <row r="12309" spans="1:4" hidden="1" x14ac:dyDescent="0.25">
      <c r="A12309" t="s">
        <v>709</v>
      </c>
      <c r="B12309" t="s">
        <v>90</v>
      </c>
      <c r="C12309" s="2">
        <f>HYPERLINK("https://sao.dolgi.msk.ru/account/1404205672/", 1404205672)</f>
        <v>1404205672</v>
      </c>
      <c r="D12309">
        <v>-5996.78</v>
      </c>
    </row>
    <row r="12310" spans="1:4" hidden="1" x14ac:dyDescent="0.25">
      <c r="A12310" t="s">
        <v>709</v>
      </c>
      <c r="B12310" t="s">
        <v>91</v>
      </c>
      <c r="C12310" s="2">
        <f>HYPERLINK("https://sao.dolgi.msk.ru/account/1404206085/", 1404206085)</f>
        <v>1404206085</v>
      </c>
      <c r="D12310">
        <v>-9044.1</v>
      </c>
    </row>
    <row r="12311" spans="1:4" hidden="1" x14ac:dyDescent="0.25">
      <c r="A12311" t="s">
        <v>709</v>
      </c>
      <c r="B12311" t="s">
        <v>92</v>
      </c>
      <c r="C12311" s="2">
        <f>HYPERLINK("https://sao.dolgi.msk.ru/account/1404206413/", 1404206413)</f>
        <v>1404206413</v>
      </c>
      <c r="D12311">
        <v>0</v>
      </c>
    </row>
    <row r="12312" spans="1:4" hidden="1" x14ac:dyDescent="0.25">
      <c r="A12312" t="s">
        <v>709</v>
      </c>
      <c r="B12312" t="s">
        <v>93</v>
      </c>
      <c r="C12312" s="2">
        <f>HYPERLINK("https://sao.dolgi.msk.ru/account/1404206093/", 1404206093)</f>
        <v>1404206093</v>
      </c>
      <c r="D12312">
        <v>0</v>
      </c>
    </row>
    <row r="12313" spans="1:4" hidden="1" x14ac:dyDescent="0.25">
      <c r="A12313" t="s">
        <v>709</v>
      </c>
      <c r="B12313" t="s">
        <v>94</v>
      </c>
      <c r="C12313" s="2">
        <f>HYPERLINK("https://sao.dolgi.msk.ru/account/1404206608/", 1404206608)</f>
        <v>1404206608</v>
      </c>
      <c r="D12313">
        <v>-2842.11</v>
      </c>
    </row>
    <row r="12314" spans="1:4" hidden="1" x14ac:dyDescent="0.25">
      <c r="A12314" t="s">
        <v>709</v>
      </c>
      <c r="B12314" t="s">
        <v>95</v>
      </c>
      <c r="C12314" s="2">
        <f>HYPERLINK("https://sao.dolgi.msk.ru/account/1404205568/", 1404205568)</f>
        <v>1404205568</v>
      </c>
      <c r="D12314">
        <v>-7190.02</v>
      </c>
    </row>
    <row r="12315" spans="1:4" hidden="1" x14ac:dyDescent="0.25">
      <c r="A12315" t="s">
        <v>709</v>
      </c>
      <c r="B12315" t="s">
        <v>96</v>
      </c>
      <c r="C12315" s="2">
        <f>HYPERLINK("https://sao.dolgi.msk.ru/account/1404206106/", 1404206106)</f>
        <v>1404206106</v>
      </c>
      <c r="D12315">
        <v>0</v>
      </c>
    </row>
    <row r="12316" spans="1:4" hidden="1" x14ac:dyDescent="0.25">
      <c r="A12316" t="s">
        <v>709</v>
      </c>
      <c r="B12316" t="s">
        <v>97</v>
      </c>
      <c r="C12316" s="2">
        <f>HYPERLINK("https://sao.dolgi.msk.ru/account/1404205576/", 1404205576)</f>
        <v>1404205576</v>
      </c>
      <c r="D12316">
        <v>0</v>
      </c>
    </row>
    <row r="12317" spans="1:4" hidden="1" x14ac:dyDescent="0.25">
      <c r="A12317" t="s">
        <v>709</v>
      </c>
      <c r="B12317" t="s">
        <v>98</v>
      </c>
      <c r="C12317" s="2">
        <f>HYPERLINK("https://sao.dolgi.msk.ru/account/1404206835/", 1404206835)</f>
        <v>1404206835</v>
      </c>
      <c r="D12317">
        <v>-5592.25</v>
      </c>
    </row>
    <row r="12318" spans="1:4" hidden="1" x14ac:dyDescent="0.25">
      <c r="A12318" t="s">
        <v>709</v>
      </c>
      <c r="B12318" t="s">
        <v>99</v>
      </c>
      <c r="C12318" s="2">
        <f>HYPERLINK("https://sao.dolgi.msk.ru/account/1404206261/", 1404206261)</f>
        <v>1404206261</v>
      </c>
      <c r="D12318">
        <v>0</v>
      </c>
    </row>
    <row r="12319" spans="1:4" hidden="1" x14ac:dyDescent="0.25">
      <c r="A12319" t="s">
        <v>709</v>
      </c>
      <c r="B12319" t="s">
        <v>100</v>
      </c>
      <c r="C12319" s="2">
        <f>HYPERLINK("https://sao.dolgi.msk.ru/account/1404205883/", 1404205883)</f>
        <v>1404205883</v>
      </c>
      <c r="D12319">
        <v>0</v>
      </c>
    </row>
    <row r="12320" spans="1:4" hidden="1" x14ac:dyDescent="0.25">
      <c r="A12320" t="s">
        <v>709</v>
      </c>
      <c r="B12320" t="s">
        <v>101</v>
      </c>
      <c r="C12320" s="2">
        <f>HYPERLINK("https://sao.dolgi.msk.ru/account/1404206288/", 1404206288)</f>
        <v>1404206288</v>
      </c>
      <c r="D12320">
        <v>-7878.62</v>
      </c>
    </row>
    <row r="12321" spans="1:4" x14ac:dyDescent="0.25">
      <c r="A12321" t="s">
        <v>709</v>
      </c>
      <c r="B12321" t="s">
        <v>102</v>
      </c>
      <c r="C12321" s="2">
        <f>HYPERLINK("https://sao.dolgi.msk.ru/account/1404205891/", 1404205891)</f>
        <v>1404205891</v>
      </c>
      <c r="D12321">
        <v>5924.31</v>
      </c>
    </row>
    <row r="12322" spans="1:4" hidden="1" x14ac:dyDescent="0.25">
      <c r="A12322" t="s">
        <v>709</v>
      </c>
      <c r="B12322" t="s">
        <v>103</v>
      </c>
      <c r="C12322" s="2">
        <f>HYPERLINK("https://sao.dolgi.msk.ru/account/1404205584/", 1404205584)</f>
        <v>1404205584</v>
      </c>
      <c r="D12322">
        <v>-3830.3</v>
      </c>
    </row>
    <row r="12323" spans="1:4" hidden="1" x14ac:dyDescent="0.25">
      <c r="A12323" t="s">
        <v>709</v>
      </c>
      <c r="B12323" t="s">
        <v>104</v>
      </c>
      <c r="C12323" s="2">
        <f>HYPERLINK("https://sao.dolgi.msk.ru/account/1404206763/", 1404206763)</f>
        <v>1404206763</v>
      </c>
      <c r="D12323">
        <v>-5780.74</v>
      </c>
    </row>
    <row r="12324" spans="1:4" hidden="1" x14ac:dyDescent="0.25">
      <c r="A12324" t="s">
        <v>709</v>
      </c>
      <c r="B12324" t="s">
        <v>105</v>
      </c>
      <c r="C12324" s="2">
        <f>HYPERLINK("https://sao.dolgi.msk.ru/account/1404206595/", 1404206595)</f>
        <v>1404206595</v>
      </c>
      <c r="D12324">
        <v>0</v>
      </c>
    </row>
    <row r="12325" spans="1:4" hidden="1" x14ac:dyDescent="0.25">
      <c r="A12325" t="s">
        <v>709</v>
      </c>
      <c r="B12325" t="s">
        <v>106</v>
      </c>
      <c r="C12325" s="2">
        <f>HYPERLINK("https://sao.dolgi.msk.ru/account/1404206069/", 1404206069)</f>
        <v>1404206069</v>
      </c>
      <c r="D12325">
        <v>-33.58</v>
      </c>
    </row>
    <row r="12326" spans="1:4" hidden="1" x14ac:dyDescent="0.25">
      <c r="A12326" t="s">
        <v>709</v>
      </c>
      <c r="B12326" t="s">
        <v>107</v>
      </c>
      <c r="C12326" s="2">
        <f>HYPERLINK("https://sao.dolgi.msk.ru/account/1404206077/", 1404206077)</f>
        <v>1404206077</v>
      </c>
      <c r="D12326">
        <v>0</v>
      </c>
    </row>
    <row r="12327" spans="1:4" hidden="1" x14ac:dyDescent="0.25">
      <c r="A12327" t="s">
        <v>709</v>
      </c>
      <c r="B12327" t="s">
        <v>108</v>
      </c>
      <c r="C12327" s="2">
        <f>HYPERLINK("https://sao.dolgi.msk.ru/account/1404206296/", 1404206296)</f>
        <v>1404206296</v>
      </c>
      <c r="D12327">
        <v>0</v>
      </c>
    </row>
    <row r="12328" spans="1:4" hidden="1" x14ac:dyDescent="0.25">
      <c r="A12328" t="s">
        <v>710</v>
      </c>
      <c r="B12328" t="s">
        <v>7</v>
      </c>
      <c r="C12328" s="2">
        <f>HYPERLINK("https://sao.dolgi.msk.ru/account/1404137665/", 1404137665)</f>
        <v>1404137665</v>
      </c>
      <c r="D12328">
        <v>-5487.29</v>
      </c>
    </row>
    <row r="12329" spans="1:4" hidden="1" x14ac:dyDescent="0.25">
      <c r="A12329" t="s">
        <v>710</v>
      </c>
      <c r="B12329" t="s">
        <v>8</v>
      </c>
      <c r="C12329" s="2">
        <f>HYPERLINK("https://sao.dolgi.msk.ru/account/1404138123/", 1404138123)</f>
        <v>1404138123</v>
      </c>
      <c r="D12329">
        <v>-5339.8</v>
      </c>
    </row>
    <row r="12330" spans="1:4" hidden="1" x14ac:dyDescent="0.25">
      <c r="A12330" t="s">
        <v>710</v>
      </c>
      <c r="B12330" t="s">
        <v>9</v>
      </c>
      <c r="C12330" s="2">
        <f>HYPERLINK("https://sao.dolgi.msk.ru/account/1404138828/", 1404138828)</f>
        <v>1404138828</v>
      </c>
      <c r="D12330">
        <v>-1654.79</v>
      </c>
    </row>
    <row r="12331" spans="1:4" hidden="1" x14ac:dyDescent="0.25">
      <c r="A12331" t="s">
        <v>710</v>
      </c>
      <c r="B12331" t="s">
        <v>10</v>
      </c>
      <c r="C12331" s="2">
        <f>HYPERLINK("https://sao.dolgi.msk.ru/account/1404137956/", 1404137956)</f>
        <v>1404137956</v>
      </c>
      <c r="D12331">
        <v>-4777.37</v>
      </c>
    </row>
    <row r="12332" spans="1:4" hidden="1" x14ac:dyDescent="0.25">
      <c r="A12332" t="s">
        <v>710</v>
      </c>
      <c r="B12332" t="s">
        <v>11</v>
      </c>
      <c r="C12332" s="2">
        <f>HYPERLINK("https://sao.dolgi.msk.ru/account/1404137796/", 1404137796)</f>
        <v>1404137796</v>
      </c>
      <c r="D12332">
        <v>-786.8</v>
      </c>
    </row>
    <row r="12333" spans="1:4" hidden="1" x14ac:dyDescent="0.25">
      <c r="A12333" t="s">
        <v>710</v>
      </c>
      <c r="B12333" t="s">
        <v>12</v>
      </c>
      <c r="C12333" s="2">
        <f>HYPERLINK("https://sao.dolgi.msk.ru/account/1404137964/", 1404137964)</f>
        <v>1404137964</v>
      </c>
      <c r="D12333">
        <v>-4011.49</v>
      </c>
    </row>
    <row r="12334" spans="1:4" x14ac:dyDescent="0.25">
      <c r="A12334" t="s">
        <v>710</v>
      </c>
      <c r="B12334" t="s">
        <v>13</v>
      </c>
      <c r="C12334" s="2">
        <f>HYPERLINK("https://sao.dolgi.msk.ru/account/1404138633/", 1404138633)</f>
        <v>1404138633</v>
      </c>
      <c r="D12334">
        <v>166061.88</v>
      </c>
    </row>
    <row r="12335" spans="1:4" hidden="1" x14ac:dyDescent="0.25">
      <c r="A12335" t="s">
        <v>710</v>
      </c>
      <c r="B12335" t="s">
        <v>14</v>
      </c>
      <c r="C12335" s="2">
        <f>HYPERLINK("https://sao.dolgi.msk.ru/account/1404137331/", 1404137331)</f>
        <v>1404137331</v>
      </c>
      <c r="D12335">
        <v>-3928.49</v>
      </c>
    </row>
    <row r="12336" spans="1:4" hidden="1" x14ac:dyDescent="0.25">
      <c r="A12336" t="s">
        <v>710</v>
      </c>
      <c r="B12336" t="s">
        <v>15</v>
      </c>
      <c r="C12336" s="2">
        <f>HYPERLINK("https://sao.dolgi.msk.ru/account/1404137606/", 1404137606)</f>
        <v>1404137606</v>
      </c>
      <c r="D12336">
        <v>0</v>
      </c>
    </row>
    <row r="12337" spans="1:4" hidden="1" x14ac:dyDescent="0.25">
      <c r="A12337" t="s">
        <v>710</v>
      </c>
      <c r="B12337" t="s">
        <v>16</v>
      </c>
      <c r="C12337" s="2">
        <f>HYPERLINK("https://sao.dolgi.msk.ru/account/1404137868/", 1404137868)</f>
        <v>1404137868</v>
      </c>
      <c r="D12337">
        <v>0</v>
      </c>
    </row>
    <row r="12338" spans="1:4" hidden="1" x14ac:dyDescent="0.25">
      <c r="A12338" t="s">
        <v>710</v>
      </c>
      <c r="B12338" t="s">
        <v>17</v>
      </c>
      <c r="C12338" s="2">
        <f>HYPERLINK("https://sao.dolgi.msk.ru/account/1404138297/", 1404138297)</f>
        <v>1404138297</v>
      </c>
      <c r="D12338">
        <v>0</v>
      </c>
    </row>
    <row r="12339" spans="1:4" hidden="1" x14ac:dyDescent="0.25">
      <c r="A12339" t="s">
        <v>710</v>
      </c>
      <c r="B12339" t="s">
        <v>18</v>
      </c>
      <c r="C12339" s="2">
        <f>HYPERLINK("https://sao.dolgi.msk.ru/account/1404137649/", 1404137649)</f>
        <v>1404137649</v>
      </c>
      <c r="D12339">
        <v>-511.28</v>
      </c>
    </row>
    <row r="12340" spans="1:4" hidden="1" x14ac:dyDescent="0.25">
      <c r="A12340" t="s">
        <v>710</v>
      </c>
      <c r="B12340" t="s">
        <v>19</v>
      </c>
      <c r="C12340" s="2">
        <f>HYPERLINK("https://sao.dolgi.msk.ru/account/1404138756/", 1404138756)</f>
        <v>1404138756</v>
      </c>
      <c r="D12340">
        <v>-7504.15</v>
      </c>
    </row>
    <row r="12341" spans="1:4" hidden="1" x14ac:dyDescent="0.25">
      <c r="A12341" t="s">
        <v>710</v>
      </c>
      <c r="B12341" t="s">
        <v>20</v>
      </c>
      <c r="C12341" s="2">
        <f>HYPERLINK("https://sao.dolgi.msk.ru/account/1404137411/", 1404137411)</f>
        <v>1404137411</v>
      </c>
      <c r="D12341">
        <v>-14619.91</v>
      </c>
    </row>
    <row r="12342" spans="1:4" hidden="1" x14ac:dyDescent="0.25">
      <c r="A12342" t="s">
        <v>710</v>
      </c>
      <c r="B12342" t="s">
        <v>21</v>
      </c>
      <c r="C12342" s="2">
        <f>HYPERLINK("https://sao.dolgi.msk.ru/account/1404138502/", 1404138502)</f>
        <v>1404138502</v>
      </c>
      <c r="D12342">
        <v>-8799.75</v>
      </c>
    </row>
    <row r="12343" spans="1:4" hidden="1" x14ac:dyDescent="0.25">
      <c r="A12343" t="s">
        <v>710</v>
      </c>
      <c r="B12343" t="s">
        <v>22</v>
      </c>
      <c r="C12343" s="2">
        <f>HYPERLINK("https://sao.dolgi.msk.ru/account/1404138094/", 1404138094)</f>
        <v>1404138094</v>
      </c>
      <c r="D12343">
        <v>-5480.92</v>
      </c>
    </row>
    <row r="12344" spans="1:4" hidden="1" x14ac:dyDescent="0.25">
      <c r="A12344" t="s">
        <v>710</v>
      </c>
      <c r="B12344" t="s">
        <v>23</v>
      </c>
      <c r="C12344" s="2">
        <f>HYPERLINK("https://sao.dolgi.msk.ru/account/1404139011/", 1404139011)</f>
        <v>1404139011</v>
      </c>
      <c r="D12344">
        <v>-9909.7099999999991</v>
      </c>
    </row>
    <row r="12345" spans="1:4" hidden="1" x14ac:dyDescent="0.25">
      <c r="A12345" t="s">
        <v>710</v>
      </c>
      <c r="B12345" t="s">
        <v>24</v>
      </c>
      <c r="C12345" s="2">
        <f>HYPERLINK("https://sao.dolgi.msk.ru/account/1404138764/", 1404138764)</f>
        <v>1404138764</v>
      </c>
      <c r="D12345">
        <v>-6791.46</v>
      </c>
    </row>
    <row r="12346" spans="1:4" hidden="1" x14ac:dyDescent="0.25">
      <c r="A12346" t="s">
        <v>710</v>
      </c>
      <c r="B12346" t="s">
        <v>25</v>
      </c>
      <c r="C12346" s="2">
        <f>HYPERLINK("https://sao.dolgi.msk.ru/account/1404139038/", 1404139038)</f>
        <v>1404139038</v>
      </c>
      <c r="D12346">
        <v>-2138.34</v>
      </c>
    </row>
    <row r="12347" spans="1:4" hidden="1" x14ac:dyDescent="0.25">
      <c r="A12347" t="s">
        <v>710</v>
      </c>
      <c r="B12347" t="s">
        <v>26</v>
      </c>
      <c r="C12347" s="2">
        <f>HYPERLINK("https://sao.dolgi.msk.ru/account/1404137438/", 1404137438)</f>
        <v>1404137438</v>
      </c>
      <c r="D12347">
        <v>-296.86</v>
      </c>
    </row>
    <row r="12348" spans="1:4" hidden="1" x14ac:dyDescent="0.25">
      <c r="A12348" t="s">
        <v>710</v>
      </c>
      <c r="B12348" t="s">
        <v>27</v>
      </c>
      <c r="C12348" s="2">
        <f>HYPERLINK("https://sao.dolgi.msk.ru/account/1404138772/", 1404138772)</f>
        <v>1404138772</v>
      </c>
      <c r="D12348">
        <v>-6301.42</v>
      </c>
    </row>
    <row r="12349" spans="1:4" hidden="1" x14ac:dyDescent="0.25">
      <c r="A12349" t="s">
        <v>710</v>
      </c>
      <c r="B12349" t="s">
        <v>28</v>
      </c>
      <c r="C12349" s="2">
        <f>HYPERLINK("https://sao.dolgi.msk.ru/account/1404139046/", 1404139046)</f>
        <v>1404139046</v>
      </c>
      <c r="D12349">
        <v>-5549.83</v>
      </c>
    </row>
    <row r="12350" spans="1:4" hidden="1" x14ac:dyDescent="0.25">
      <c r="A12350" t="s">
        <v>710</v>
      </c>
      <c r="B12350" t="s">
        <v>29</v>
      </c>
      <c r="C12350" s="2">
        <f>HYPERLINK("https://sao.dolgi.msk.ru/account/1404137921/", 1404137921)</f>
        <v>1404137921</v>
      </c>
      <c r="D12350">
        <v>-2789.2</v>
      </c>
    </row>
    <row r="12351" spans="1:4" hidden="1" x14ac:dyDescent="0.25">
      <c r="A12351" t="s">
        <v>710</v>
      </c>
      <c r="B12351" t="s">
        <v>30</v>
      </c>
      <c r="C12351" s="2">
        <f>HYPERLINK("https://sao.dolgi.msk.ru/account/1404137948/", 1404137948)</f>
        <v>1404137948</v>
      </c>
      <c r="D12351">
        <v>0</v>
      </c>
    </row>
    <row r="12352" spans="1:4" hidden="1" x14ac:dyDescent="0.25">
      <c r="A12352" t="s">
        <v>710</v>
      </c>
      <c r="B12352" t="s">
        <v>31</v>
      </c>
      <c r="C12352" s="2">
        <f>HYPERLINK("https://sao.dolgi.msk.ru/account/1404137657/", 1404137657)</f>
        <v>1404137657</v>
      </c>
      <c r="D12352">
        <v>-4066.75</v>
      </c>
    </row>
    <row r="12353" spans="1:4" hidden="1" x14ac:dyDescent="0.25">
      <c r="A12353" t="s">
        <v>710</v>
      </c>
      <c r="B12353" t="s">
        <v>32</v>
      </c>
      <c r="C12353" s="2">
        <f>HYPERLINK("https://sao.dolgi.msk.ru/account/1404137446/", 1404137446)</f>
        <v>1404137446</v>
      </c>
      <c r="D12353">
        <v>-7618.17</v>
      </c>
    </row>
    <row r="12354" spans="1:4" hidden="1" x14ac:dyDescent="0.25">
      <c r="A12354" t="s">
        <v>710</v>
      </c>
      <c r="B12354" t="s">
        <v>33</v>
      </c>
      <c r="C12354" s="2">
        <f>HYPERLINK("https://sao.dolgi.msk.ru/account/1404138799/", 1404138799)</f>
        <v>1404138799</v>
      </c>
      <c r="D12354">
        <v>0</v>
      </c>
    </row>
    <row r="12355" spans="1:4" hidden="1" x14ac:dyDescent="0.25">
      <c r="A12355" t="s">
        <v>710</v>
      </c>
      <c r="B12355" t="s">
        <v>34</v>
      </c>
      <c r="C12355" s="2">
        <f>HYPERLINK("https://sao.dolgi.msk.ru/account/1404139054/", 1404139054)</f>
        <v>1404139054</v>
      </c>
      <c r="D12355">
        <v>-4781.18</v>
      </c>
    </row>
    <row r="12356" spans="1:4" hidden="1" x14ac:dyDescent="0.25">
      <c r="A12356" t="s">
        <v>710</v>
      </c>
      <c r="B12356" t="s">
        <v>35</v>
      </c>
      <c r="C12356" s="2">
        <f>HYPERLINK("https://sao.dolgi.msk.ru/account/1404138107/", 1404138107)</f>
        <v>1404138107</v>
      </c>
      <c r="D12356">
        <v>0</v>
      </c>
    </row>
    <row r="12357" spans="1:4" hidden="1" x14ac:dyDescent="0.25">
      <c r="A12357" t="s">
        <v>710</v>
      </c>
      <c r="B12357" t="s">
        <v>36</v>
      </c>
      <c r="C12357" s="2">
        <f>HYPERLINK("https://sao.dolgi.msk.ru/account/1404138334/", 1404138334)</f>
        <v>1404138334</v>
      </c>
      <c r="D12357">
        <v>-5412.39</v>
      </c>
    </row>
    <row r="12358" spans="1:4" hidden="1" x14ac:dyDescent="0.25">
      <c r="A12358" t="s">
        <v>710</v>
      </c>
      <c r="B12358" t="s">
        <v>37</v>
      </c>
      <c r="C12358" s="2">
        <f>HYPERLINK("https://sao.dolgi.msk.ru/account/1404137673/", 1404137673)</f>
        <v>1404137673</v>
      </c>
      <c r="D12358">
        <v>-1309.4000000000001</v>
      </c>
    </row>
    <row r="12359" spans="1:4" hidden="1" x14ac:dyDescent="0.25">
      <c r="A12359" t="s">
        <v>710</v>
      </c>
      <c r="B12359" t="s">
        <v>38</v>
      </c>
      <c r="C12359" s="2">
        <f>HYPERLINK("https://sao.dolgi.msk.ru/account/1404138529/", 1404138529)</f>
        <v>1404138529</v>
      </c>
      <c r="D12359">
        <v>-5797.48</v>
      </c>
    </row>
    <row r="12360" spans="1:4" hidden="1" x14ac:dyDescent="0.25">
      <c r="A12360" t="s">
        <v>710</v>
      </c>
      <c r="B12360" t="s">
        <v>39</v>
      </c>
      <c r="C12360" s="2">
        <f>HYPERLINK("https://sao.dolgi.msk.ru/account/1404138537/", 1404138537)</f>
        <v>1404138537</v>
      </c>
      <c r="D12360">
        <v>0</v>
      </c>
    </row>
    <row r="12361" spans="1:4" hidden="1" x14ac:dyDescent="0.25">
      <c r="A12361" t="s">
        <v>710</v>
      </c>
      <c r="B12361" t="s">
        <v>40</v>
      </c>
      <c r="C12361" s="2">
        <f>HYPERLINK("https://sao.dolgi.msk.ru/account/1404137681/", 1404137681)</f>
        <v>1404137681</v>
      </c>
      <c r="D12361">
        <v>-6435.96</v>
      </c>
    </row>
    <row r="12362" spans="1:4" hidden="1" x14ac:dyDescent="0.25">
      <c r="A12362" t="s">
        <v>710</v>
      </c>
      <c r="B12362" t="s">
        <v>41</v>
      </c>
      <c r="C12362" s="2">
        <f>HYPERLINK("https://sao.dolgi.msk.ru/account/1404138801/", 1404138801)</f>
        <v>1404138801</v>
      </c>
      <c r="D12362">
        <v>-5753.06</v>
      </c>
    </row>
    <row r="12363" spans="1:4" hidden="1" x14ac:dyDescent="0.25">
      <c r="A12363" t="s">
        <v>710</v>
      </c>
      <c r="B12363" t="s">
        <v>42</v>
      </c>
      <c r="C12363" s="2">
        <f>HYPERLINK("https://sao.dolgi.msk.ru/account/1404138115/", 1404138115)</f>
        <v>1404138115</v>
      </c>
      <c r="D12363">
        <v>-511.28</v>
      </c>
    </row>
    <row r="12364" spans="1:4" hidden="1" x14ac:dyDescent="0.25">
      <c r="A12364" t="s">
        <v>710</v>
      </c>
      <c r="B12364" t="s">
        <v>43</v>
      </c>
      <c r="C12364" s="2">
        <f>HYPERLINK("https://sao.dolgi.msk.ru/account/1404137454/", 1404137454)</f>
        <v>1404137454</v>
      </c>
      <c r="D12364">
        <v>-2832.22</v>
      </c>
    </row>
    <row r="12365" spans="1:4" hidden="1" x14ac:dyDescent="0.25">
      <c r="A12365" t="s">
        <v>710</v>
      </c>
      <c r="B12365" t="s">
        <v>44</v>
      </c>
      <c r="C12365" s="2">
        <f>HYPERLINK("https://sao.dolgi.msk.ru/account/1404138342/", 1404138342)</f>
        <v>1404138342</v>
      </c>
      <c r="D12365">
        <v>-1695.22</v>
      </c>
    </row>
    <row r="12366" spans="1:4" hidden="1" x14ac:dyDescent="0.25">
      <c r="A12366" t="s">
        <v>710</v>
      </c>
      <c r="B12366" t="s">
        <v>44</v>
      </c>
      <c r="C12366" s="2">
        <f>HYPERLINK("https://sao.dolgi.msk.ru/account/1404138676/", 1404138676)</f>
        <v>1404138676</v>
      </c>
      <c r="D12366">
        <v>-3926.15</v>
      </c>
    </row>
    <row r="12367" spans="1:4" hidden="1" x14ac:dyDescent="0.25">
      <c r="A12367" t="s">
        <v>710</v>
      </c>
      <c r="B12367" t="s">
        <v>45</v>
      </c>
      <c r="C12367" s="2">
        <f>HYPERLINK("https://sao.dolgi.msk.ru/account/1404137462/", 1404137462)</f>
        <v>1404137462</v>
      </c>
      <c r="D12367">
        <v>-4607.75</v>
      </c>
    </row>
    <row r="12368" spans="1:4" hidden="1" x14ac:dyDescent="0.25">
      <c r="A12368" t="s">
        <v>710</v>
      </c>
      <c r="B12368" t="s">
        <v>45</v>
      </c>
      <c r="C12368" s="2">
        <f>HYPERLINK("https://sao.dolgi.msk.ru/account/1404138211/", 1404138211)</f>
        <v>1404138211</v>
      </c>
      <c r="D12368">
        <v>-1416.47</v>
      </c>
    </row>
    <row r="12369" spans="1:4" hidden="1" x14ac:dyDescent="0.25">
      <c r="A12369" t="s">
        <v>710</v>
      </c>
      <c r="B12369" t="s">
        <v>46</v>
      </c>
      <c r="C12369" s="2">
        <f>HYPERLINK("https://sao.dolgi.msk.ru/account/1404137489/", 1404137489)</f>
        <v>1404137489</v>
      </c>
      <c r="D12369">
        <v>-3476.97</v>
      </c>
    </row>
    <row r="12370" spans="1:4" hidden="1" x14ac:dyDescent="0.25">
      <c r="A12370" t="s">
        <v>710</v>
      </c>
      <c r="B12370" t="s">
        <v>47</v>
      </c>
      <c r="C12370" s="2">
        <f>HYPERLINK("https://sao.dolgi.msk.ru/account/1404137497/", 1404137497)</f>
        <v>1404137497</v>
      </c>
      <c r="D12370">
        <v>-4466.88</v>
      </c>
    </row>
    <row r="12371" spans="1:4" hidden="1" x14ac:dyDescent="0.25">
      <c r="A12371" t="s">
        <v>710</v>
      </c>
      <c r="B12371" t="s">
        <v>48</v>
      </c>
      <c r="C12371" s="2">
        <f>HYPERLINK("https://sao.dolgi.msk.ru/account/1404137702/", 1404137702)</f>
        <v>1404137702</v>
      </c>
      <c r="D12371">
        <v>-852.67</v>
      </c>
    </row>
    <row r="12372" spans="1:4" hidden="1" x14ac:dyDescent="0.25">
      <c r="A12372" t="s">
        <v>710</v>
      </c>
      <c r="B12372" t="s">
        <v>49</v>
      </c>
      <c r="C12372" s="2">
        <f>HYPERLINK("https://sao.dolgi.msk.ru/account/1404138131/", 1404138131)</f>
        <v>1404138131</v>
      </c>
      <c r="D12372">
        <v>0</v>
      </c>
    </row>
    <row r="12373" spans="1:4" hidden="1" x14ac:dyDescent="0.25">
      <c r="A12373" t="s">
        <v>710</v>
      </c>
      <c r="B12373" t="s">
        <v>50</v>
      </c>
      <c r="C12373" s="2">
        <f>HYPERLINK("https://sao.dolgi.msk.ru/account/1404138545/", 1404138545)</f>
        <v>1404138545</v>
      </c>
      <c r="D12373">
        <v>-4360.08</v>
      </c>
    </row>
    <row r="12374" spans="1:4" hidden="1" x14ac:dyDescent="0.25">
      <c r="A12374" t="s">
        <v>710</v>
      </c>
      <c r="B12374" t="s">
        <v>51</v>
      </c>
      <c r="C12374" s="2">
        <f>HYPERLINK("https://sao.dolgi.msk.ru/account/1404137518/", 1404137518)</f>
        <v>1404137518</v>
      </c>
      <c r="D12374">
        <v>-3432.93</v>
      </c>
    </row>
    <row r="12375" spans="1:4" hidden="1" x14ac:dyDescent="0.25">
      <c r="A12375" t="s">
        <v>710</v>
      </c>
      <c r="B12375" t="s">
        <v>52</v>
      </c>
      <c r="C12375" s="2">
        <f>HYPERLINK("https://sao.dolgi.msk.ru/account/1404137729/", 1404137729)</f>
        <v>1404137729</v>
      </c>
      <c r="D12375">
        <v>-5208.09</v>
      </c>
    </row>
    <row r="12376" spans="1:4" hidden="1" x14ac:dyDescent="0.25">
      <c r="A12376" t="s">
        <v>710</v>
      </c>
      <c r="B12376" t="s">
        <v>53</v>
      </c>
      <c r="C12376" s="2">
        <f>HYPERLINK("https://sao.dolgi.msk.ru/account/1404139062/", 1404139062)</f>
        <v>1404139062</v>
      </c>
      <c r="D12376">
        <v>-9435.0300000000007</v>
      </c>
    </row>
    <row r="12377" spans="1:4" hidden="1" x14ac:dyDescent="0.25">
      <c r="A12377" t="s">
        <v>710</v>
      </c>
      <c r="B12377" t="s">
        <v>54</v>
      </c>
      <c r="C12377" s="2">
        <f>HYPERLINK("https://sao.dolgi.msk.ru/account/1404138836/", 1404138836)</f>
        <v>1404138836</v>
      </c>
      <c r="D12377">
        <v>-8951.98</v>
      </c>
    </row>
    <row r="12378" spans="1:4" hidden="1" x14ac:dyDescent="0.25">
      <c r="A12378" t="s">
        <v>710</v>
      </c>
      <c r="B12378" t="s">
        <v>55</v>
      </c>
      <c r="C12378" s="2">
        <f>HYPERLINK("https://sao.dolgi.msk.ru/account/1404137737/", 1404137737)</f>
        <v>1404137737</v>
      </c>
      <c r="D12378">
        <v>-7654.25</v>
      </c>
    </row>
    <row r="12379" spans="1:4" hidden="1" x14ac:dyDescent="0.25">
      <c r="A12379" t="s">
        <v>710</v>
      </c>
      <c r="B12379" t="s">
        <v>56</v>
      </c>
      <c r="C12379" s="2">
        <f>HYPERLINK("https://sao.dolgi.msk.ru/account/1404138553/", 1404138553)</f>
        <v>1404138553</v>
      </c>
      <c r="D12379">
        <v>0</v>
      </c>
    </row>
    <row r="12380" spans="1:4" hidden="1" x14ac:dyDescent="0.25">
      <c r="A12380" t="s">
        <v>710</v>
      </c>
      <c r="B12380" t="s">
        <v>57</v>
      </c>
      <c r="C12380" s="2">
        <f>HYPERLINK("https://sao.dolgi.msk.ru/account/1404137745/", 1404137745)</f>
        <v>1404137745</v>
      </c>
      <c r="D12380">
        <v>-5169.34</v>
      </c>
    </row>
    <row r="12381" spans="1:4" hidden="1" x14ac:dyDescent="0.25">
      <c r="A12381" t="s">
        <v>710</v>
      </c>
      <c r="B12381" t="s">
        <v>58</v>
      </c>
      <c r="C12381" s="2">
        <f>HYPERLINK("https://sao.dolgi.msk.ru/account/1404137753/", 1404137753)</f>
        <v>1404137753</v>
      </c>
      <c r="D12381">
        <v>-6873.41</v>
      </c>
    </row>
    <row r="12382" spans="1:4" hidden="1" x14ac:dyDescent="0.25">
      <c r="A12382" t="s">
        <v>710</v>
      </c>
      <c r="B12382" t="s">
        <v>59</v>
      </c>
      <c r="C12382" s="2">
        <f>HYPERLINK("https://sao.dolgi.msk.ru/account/1404138369/", 1404138369)</f>
        <v>1404138369</v>
      </c>
      <c r="D12382">
        <v>-3300.08</v>
      </c>
    </row>
    <row r="12383" spans="1:4" hidden="1" x14ac:dyDescent="0.25">
      <c r="A12383" t="s">
        <v>710</v>
      </c>
      <c r="B12383" t="s">
        <v>60</v>
      </c>
      <c r="C12383" s="2">
        <f>HYPERLINK("https://sao.dolgi.msk.ru/account/1404137526/", 1404137526)</f>
        <v>1404137526</v>
      </c>
      <c r="D12383">
        <v>-6329.66</v>
      </c>
    </row>
    <row r="12384" spans="1:4" hidden="1" x14ac:dyDescent="0.25">
      <c r="A12384" t="s">
        <v>710</v>
      </c>
      <c r="B12384" t="s">
        <v>61</v>
      </c>
      <c r="C12384" s="2">
        <f>HYPERLINK("https://sao.dolgi.msk.ru/account/1404138377/", 1404138377)</f>
        <v>1404138377</v>
      </c>
      <c r="D12384">
        <v>-5942.08</v>
      </c>
    </row>
    <row r="12385" spans="1:4" hidden="1" x14ac:dyDescent="0.25">
      <c r="A12385" t="s">
        <v>710</v>
      </c>
      <c r="B12385" t="s">
        <v>62</v>
      </c>
      <c r="C12385" s="2">
        <f>HYPERLINK("https://sao.dolgi.msk.ru/account/1404137761/", 1404137761)</f>
        <v>1404137761</v>
      </c>
      <c r="D12385">
        <v>-5830.22</v>
      </c>
    </row>
    <row r="12386" spans="1:4" x14ac:dyDescent="0.25">
      <c r="A12386" t="s">
        <v>710</v>
      </c>
      <c r="B12386" t="s">
        <v>63</v>
      </c>
      <c r="C12386" s="2">
        <f>HYPERLINK("https://sao.dolgi.msk.ru/account/1404138844/", 1404138844)</f>
        <v>1404138844</v>
      </c>
      <c r="D12386">
        <v>18134.150000000001</v>
      </c>
    </row>
    <row r="12387" spans="1:4" x14ac:dyDescent="0.25">
      <c r="A12387" t="s">
        <v>710</v>
      </c>
      <c r="B12387" t="s">
        <v>64</v>
      </c>
      <c r="C12387" s="2">
        <f>HYPERLINK("https://sao.dolgi.msk.ru/account/1404137788/", 1404137788)</f>
        <v>1404137788</v>
      </c>
      <c r="D12387">
        <v>11315.86</v>
      </c>
    </row>
    <row r="12388" spans="1:4" hidden="1" x14ac:dyDescent="0.25">
      <c r="A12388" t="s">
        <v>710</v>
      </c>
      <c r="B12388" t="s">
        <v>65</v>
      </c>
      <c r="C12388" s="2">
        <f>HYPERLINK("https://sao.dolgi.msk.ru/account/1404138385/", 1404138385)</f>
        <v>1404138385</v>
      </c>
      <c r="D12388">
        <v>-680.22</v>
      </c>
    </row>
    <row r="12389" spans="1:4" hidden="1" x14ac:dyDescent="0.25">
      <c r="A12389" t="s">
        <v>710</v>
      </c>
      <c r="B12389" t="s">
        <v>66</v>
      </c>
      <c r="C12389" s="2">
        <f>HYPERLINK("https://sao.dolgi.msk.ru/account/1404138852/", 1404138852)</f>
        <v>1404138852</v>
      </c>
      <c r="D12389">
        <v>-8558.5</v>
      </c>
    </row>
    <row r="12390" spans="1:4" hidden="1" x14ac:dyDescent="0.25">
      <c r="A12390" t="s">
        <v>710</v>
      </c>
      <c r="B12390" t="s">
        <v>67</v>
      </c>
      <c r="C12390" s="2">
        <f>HYPERLINK("https://sao.dolgi.msk.ru/account/1404137534/", 1404137534)</f>
        <v>1404137534</v>
      </c>
      <c r="D12390">
        <v>-6637.76</v>
      </c>
    </row>
    <row r="12391" spans="1:4" hidden="1" x14ac:dyDescent="0.25">
      <c r="A12391" t="s">
        <v>710</v>
      </c>
      <c r="B12391" t="s">
        <v>68</v>
      </c>
      <c r="C12391" s="2">
        <f>HYPERLINK("https://sao.dolgi.msk.ru/account/1404137542/", 1404137542)</f>
        <v>1404137542</v>
      </c>
      <c r="D12391">
        <v>-3006.28</v>
      </c>
    </row>
    <row r="12392" spans="1:4" hidden="1" x14ac:dyDescent="0.25">
      <c r="A12392" t="s">
        <v>710</v>
      </c>
      <c r="B12392" t="s">
        <v>69</v>
      </c>
      <c r="C12392" s="2">
        <f>HYPERLINK("https://sao.dolgi.msk.ru/account/1404138393/", 1404138393)</f>
        <v>1404138393</v>
      </c>
      <c r="D12392">
        <v>-5843.55</v>
      </c>
    </row>
    <row r="12393" spans="1:4" hidden="1" x14ac:dyDescent="0.25">
      <c r="A12393" t="s">
        <v>710</v>
      </c>
      <c r="B12393" t="s">
        <v>70</v>
      </c>
      <c r="C12393" s="2">
        <f>HYPERLINK("https://sao.dolgi.msk.ru/account/1404138561/", 1404138561)</f>
        <v>1404138561</v>
      </c>
      <c r="D12393">
        <v>-6029.09</v>
      </c>
    </row>
    <row r="12394" spans="1:4" hidden="1" x14ac:dyDescent="0.25">
      <c r="A12394" t="s">
        <v>710</v>
      </c>
      <c r="B12394" t="s">
        <v>71</v>
      </c>
      <c r="C12394" s="2">
        <f>HYPERLINK("https://sao.dolgi.msk.ru/account/1404138879/", 1404138879)</f>
        <v>1404138879</v>
      </c>
      <c r="D12394">
        <v>-1683.43</v>
      </c>
    </row>
    <row r="12395" spans="1:4" x14ac:dyDescent="0.25">
      <c r="A12395" t="s">
        <v>710</v>
      </c>
      <c r="B12395" t="s">
        <v>72</v>
      </c>
      <c r="C12395" s="2">
        <f>HYPERLINK("https://sao.dolgi.msk.ru/account/1404138887/", 1404138887)</f>
        <v>1404138887</v>
      </c>
      <c r="D12395">
        <v>6625.62</v>
      </c>
    </row>
    <row r="12396" spans="1:4" hidden="1" x14ac:dyDescent="0.25">
      <c r="A12396" t="s">
        <v>710</v>
      </c>
      <c r="B12396" t="s">
        <v>73</v>
      </c>
      <c r="C12396" s="2">
        <f>HYPERLINK("https://sao.dolgi.msk.ru/account/1404138158/", 1404138158)</f>
        <v>1404138158</v>
      </c>
      <c r="D12396">
        <v>0</v>
      </c>
    </row>
    <row r="12397" spans="1:4" hidden="1" x14ac:dyDescent="0.25">
      <c r="A12397" t="s">
        <v>710</v>
      </c>
      <c r="B12397" t="s">
        <v>74</v>
      </c>
      <c r="C12397" s="2">
        <f>HYPERLINK("https://sao.dolgi.msk.ru/account/1404138166/", 1404138166)</f>
        <v>1404138166</v>
      </c>
      <c r="D12397">
        <v>-6615.63</v>
      </c>
    </row>
    <row r="12398" spans="1:4" hidden="1" x14ac:dyDescent="0.25">
      <c r="A12398" t="s">
        <v>710</v>
      </c>
      <c r="B12398" t="s">
        <v>75</v>
      </c>
      <c r="C12398" s="2">
        <f>HYPERLINK("https://sao.dolgi.msk.ru/account/1404137809/", 1404137809)</f>
        <v>1404137809</v>
      </c>
      <c r="D12398">
        <v>-3898.03</v>
      </c>
    </row>
    <row r="12399" spans="1:4" hidden="1" x14ac:dyDescent="0.25">
      <c r="A12399" t="s">
        <v>710</v>
      </c>
      <c r="B12399" t="s">
        <v>76</v>
      </c>
      <c r="C12399" s="2">
        <f>HYPERLINK("https://sao.dolgi.msk.ru/account/1404139089/", 1404139089)</f>
        <v>1404139089</v>
      </c>
      <c r="D12399">
        <v>-4000.47</v>
      </c>
    </row>
    <row r="12400" spans="1:4" hidden="1" x14ac:dyDescent="0.25">
      <c r="A12400" t="s">
        <v>710</v>
      </c>
      <c r="B12400" t="s">
        <v>77</v>
      </c>
      <c r="C12400" s="2">
        <f>HYPERLINK("https://sao.dolgi.msk.ru/account/1404137569/", 1404137569)</f>
        <v>1404137569</v>
      </c>
      <c r="D12400">
        <v>-3492.95</v>
      </c>
    </row>
    <row r="12401" spans="1:4" hidden="1" x14ac:dyDescent="0.25">
      <c r="A12401" t="s">
        <v>710</v>
      </c>
      <c r="B12401" t="s">
        <v>78</v>
      </c>
      <c r="C12401" s="2">
        <f>HYPERLINK("https://sao.dolgi.msk.ru/account/1404138588/", 1404138588)</f>
        <v>1404138588</v>
      </c>
      <c r="D12401">
        <v>-3613.71</v>
      </c>
    </row>
    <row r="12402" spans="1:4" hidden="1" x14ac:dyDescent="0.25">
      <c r="A12402" t="s">
        <v>710</v>
      </c>
      <c r="B12402" t="s">
        <v>79</v>
      </c>
      <c r="C12402" s="2">
        <f>HYPERLINK("https://sao.dolgi.msk.ru/account/1404138596/", 1404138596)</f>
        <v>1404138596</v>
      </c>
      <c r="D12402">
        <v>0</v>
      </c>
    </row>
    <row r="12403" spans="1:4" hidden="1" x14ac:dyDescent="0.25">
      <c r="A12403" t="s">
        <v>710</v>
      </c>
      <c r="B12403" t="s">
        <v>80</v>
      </c>
      <c r="C12403" s="2">
        <f>HYPERLINK("https://sao.dolgi.msk.ru/account/1404138609/", 1404138609)</f>
        <v>1404138609</v>
      </c>
      <c r="D12403">
        <v>-9262.09</v>
      </c>
    </row>
    <row r="12404" spans="1:4" hidden="1" x14ac:dyDescent="0.25">
      <c r="A12404" t="s">
        <v>710</v>
      </c>
      <c r="B12404" t="s">
        <v>81</v>
      </c>
      <c r="C12404" s="2">
        <f>HYPERLINK("https://sao.dolgi.msk.ru/account/1404137817/", 1404137817)</f>
        <v>1404137817</v>
      </c>
      <c r="D12404">
        <v>-7124.63</v>
      </c>
    </row>
    <row r="12405" spans="1:4" hidden="1" x14ac:dyDescent="0.25">
      <c r="A12405" t="s">
        <v>710</v>
      </c>
      <c r="B12405" t="s">
        <v>82</v>
      </c>
      <c r="C12405" s="2">
        <f>HYPERLINK("https://sao.dolgi.msk.ru/account/1404138406/", 1404138406)</f>
        <v>1404138406</v>
      </c>
      <c r="D12405">
        <v>-1283.98</v>
      </c>
    </row>
    <row r="12406" spans="1:4" hidden="1" x14ac:dyDescent="0.25">
      <c r="A12406" t="s">
        <v>710</v>
      </c>
      <c r="B12406" t="s">
        <v>83</v>
      </c>
      <c r="C12406" s="2">
        <f>HYPERLINK("https://sao.dolgi.msk.ru/account/1404138414/", 1404138414)</f>
        <v>1404138414</v>
      </c>
      <c r="D12406">
        <v>-6239.41</v>
      </c>
    </row>
    <row r="12407" spans="1:4" hidden="1" x14ac:dyDescent="0.25">
      <c r="A12407" t="s">
        <v>710</v>
      </c>
      <c r="B12407" t="s">
        <v>84</v>
      </c>
      <c r="C12407" s="2">
        <f>HYPERLINK("https://sao.dolgi.msk.ru/account/1404138617/", 1404138617)</f>
        <v>1404138617</v>
      </c>
      <c r="D12407">
        <v>-4408.8599999999997</v>
      </c>
    </row>
    <row r="12408" spans="1:4" hidden="1" x14ac:dyDescent="0.25">
      <c r="A12408" t="s">
        <v>710</v>
      </c>
      <c r="B12408" t="s">
        <v>85</v>
      </c>
      <c r="C12408" s="2">
        <f>HYPERLINK("https://sao.dolgi.msk.ru/account/1404139097/", 1404139097)</f>
        <v>1404139097</v>
      </c>
      <c r="D12408">
        <v>0</v>
      </c>
    </row>
    <row r="12409" spans="1:4" hidden="1" x14ac:dyDescent="0.25">
      <c r="A12409" t="s">
        <v>710</v>
      </c>
      <c r="B12409" t="s">
        <v>86</v>
      </c>
      <c r="C12409" s="2">
        <f>HYPERLINK("https://sao.dolgi.msk.ru/account/1404138625/", 1404138625)</f>
        <v>1404138625</v>
      </c>
      <c r="D12409">
        <v>-180.16</v>
      </c>
    </row>
    <row r="12410" spans="1:4" hidden="1" x14ac:dyDescent="0.25">
      <c r="A12410" t="s">
        <v>710</v>
      </c>
      <c r="B12410" t="s">
        <v>87</v>
      </c>
      <c r="C12410" s="2">
        <f>HYPERLINK("https://sao.dolgi.msk.ru/account/1404138174/", 1404138174)</f>
        <v>1404138174</v>
      </c>
      <c r="D12410">
        <v>-734.91</v>
      </c>
    </row>
    <row r="12411" spans="1:4" hidden="1" x14ac:dyDescent="0.25">
      <c r="A12411" t="s">
        <v>710</v>
      </c>
      <c r="B12411" t="s">
        <v>88</v>
      </c>
      <c r="C12411" s="2">
        <f>HYPERLINK("https://sao.dolgi.msk.ru/account/1404139118/", 1404139118)</f>
        <v>1404139118</v>
      </c>
      <c r="D12411">
        <v>0</v>
      </c>
    </row>
    <row r="12412" spans="1:4" hidden="1" x14ac:dyDescent="0.25">
      <c r="A12412" t="s">
        <v>710</v>
      </c>
      <c r="B12412" t="s">
        <v>89</v>
      </c>
      <c r="C12412" s="2">
        <f>HYPERLINK("https://sao.dolgi.msk.ru/account/1404138422/", 1404138422)</f>
        <v>1404138422</v>
      </c>
      <c r="D12412">
        <v>-5380.44</v>
      </c>
    </row>
    <row r="12413" spans="1:4" hidden="1" x14ac:dyDescent="0.25">
      <c r="A12413" t="s">
        <v>710</v>
      </c>
      <c r="B12413" t="s">
        <v>90</v>
      </c>
      <c r="C12413" s="2">
        <f>HYPERLINK("https://sao.dolgi.msk.ru/account/1404137972/", 1404137972)</f>
        <v>1404137972</v>
      </c>
      <c r="D12413">
        <v>-3370.81</v>
      </c>
    </row>
    <row r="12414" spans="1:4" hidden="1" x14ac:dyDescent="0.25">
      <c r="A12414" t="s">
        <v>710</v>
      </c>
      <c r="B12414" t="s">
        <v>91</v>
      </c>
      <c r="C12414" s="2">
        <f>HYPERLINK("https://sao.dolgi.msk.ru/account/1404138895/", 1404138895)</f>
        <v>1404138895</v>
      </c>
      <c r="D12414">
        <v>-9739.94</v>
      </c>
    </row>
    <row r="12415" spans="1:4" hidden="1" x14ac:dyDescent="0.25">
      <c r="A12415" t="s">
        <v>710</v>
      </c>
      <c r="B12415" t="s">
        <v>92</v>
      </c>
      <c r="C12415" s="2">
        <f>HYPERLINK("https://sao.dolgi.msk.ru/account/1404138449/", 1404138449)</f>
        <v>1404138449</v>
      </c>
      <c r="D12415">
        <v>-1534.66</v>
      </c>
    </row>
    <row r="12416" spans="1:4" hidden="1" x14ac:dyDescent="0.25">
      <c r="A12416" t="s">
        <v>710</v>
      </c>
      <c r="B12416" t="s">
        <v>93</v>
      </c>
      <c r="C12416" s="2">
        <f>HYPERLINK("https://sao.dolgi.msk.ru/account/1404137577/", 1404137577)</f>
        <v>1404137577</v>
      </c>
      <c r="D12416">
        <v>-5545.67</v>
      </c>
    </row>
    <row r="12417" spans="1:4" hidden="1" x14ac:dyDescent="0.25">
      <c r="A12417" t="s">
        <v>710</v>
      </c>
      <c r="B12417" t="s">
        <v>94</v>
      </c>
      <c r="C12417" s="2">
        <f>HYPERLINK("https://sao.dolgi.msk.ru/account/1404138908/", 1404138908)</f>
        <v>1404138908</v>
      </c>
      <c r="D12417">
        <v>0</v>
      </c>
    </row>
    <row r="12418" spans="1:4" hidden="1" x14ac:dyDescent="0.25">
      <c r="A12418" t="s">
        <v>710</v>
      </c>
      <c r="B12418" t="s">
        <v>95</v>
      </c>
      <c r="C12418" s="2">
        <f>HYPERLINK("https://sao.dolgi.msk.ru/account/1404137825/", 1404137825)</f>
        <v>1404137825</v>
      </c>
      <c r="D12418">
        <v>-8096.78</v>
      </c>
    </row>
    <row r="12419" spans="1:4" hidden="1" x14ac:dyDescent="0.25">
      <c r="A12419" t="s">
        <v>710</v>
      </c>
      <c r="B12419" t="s">
        <v>96</v>
      </c>
      <c r="C12419" s="2">
        <f>HYPERLINK("https://sao.dolgi.msk.ru/account/1404137999/", 1404137999)</f>
        <v>1404137999</v>
      </c>
      <c r="D12419">
        <v>-4999.18</v>
      </c>
    </row>
    <row r="12420" spans="1:4" hidden="1" x14ac:dyDescent="0.25">
      <c r="A12420" t="s">
        <v>710</v>
      </c>
      <c r="B12420" t="s">
        <v>97</v>
      </c>
      <c r="C12420" s="2">
        <f>HYPERLINK("https://sao.dolgi.msk.ru/account/1404138182/", 1404138182)</f>
        <v>1404138182</v>
      </c>
      <c r="D12420">
        <v>-5780.73</v>
      </c>
    </row>
    <row r="12421" spans="1:4" hidden="1" x14ac:dyDescent="0.25">
      <c r="A12421" t="s">
        <v>710</v>
      </c>
      <c r="B12421" t="s">
        <v>98</v>
      </c>
      <c r="C12421" s="2">
        <f>HYPERLINK("https://sao.dolgi.msk.ru/account/1404137585/", 1404137585)</f>
        <v>1404137585</v>
      </c>
      <c r="D12421">
        <v>-688.25</v>
      </c>
    </row>
    <row r="12422" spans="1:4" hidden="1" x14ac:dyDescent="0.25">
      <c r="A12422" t="s">
        <v>710</v>
      </c>
      <c r="B12422" t="s">
        <v>99</v>
      </c>
      <c r="C12422" s="2">
        <f>HYPERLINK("https://sao.dolgi.msk.ru/account/1404138203/", 1404138203)</f>
        <v>1404138203</v>
      </c>
      <c r="D12422">
        <v>-605.34</v>
      </c>
    </row>
    <row r="12423" spans="1:4" hidden="1" x14ac:dyDescent="0.25">
      <c r="A12423" t="s">
        <v>710</v>
      </c>
      <c r="B12423" t="s">
        <v>100</v>
      </c>
      <c r="C12423" s="2">
        <f>HYPERLINK("https://sao.dolgi.msk.ru/account/1404138916/", 1404138916)</f>
        <v>1404138916</v>
      </c>
      <c r="D12423">
        <v>0</v>
      </c>
    </row>
    <row r="12424" spans="1:4" hidden="1" x14ac:dyDescent="0.25">
      <c r="A12424" t="s">
        <v>710</v>
      </c>
      <c r="B12424" t="s">
        <v>101</v>
      </c>
      <c r="C12424" s="2">
        <f>HYPERLINK("https://sao.dolgi.msk.ru/account/1404138457/", 1404138457)</f>
        <v>1404138457</v>
      </c>
      <c r="D12424">
        <v>-4242.93</v>
      </c>
    </row>
    <row r="12425" spans="1:4" hidden="1" x14ac:dyDescent="0.25">
      <c r="A12425" t="s">
        <v>710</v>
      </c>
      <c r="B12425" t="s">
        <v>102</v>
      </c>
      <c r="C12425" s="2">
        <f>HYPERLINK("https://sao.dolgi.msk.ru/account/1404138641/", 1404138641)</f>
        <v>1404138641</v>
      </c>
      <c r="D12425">
        <v>-5283.34</v>
      </c>
    </row>
    <row r="12426" spans="1:4" hidden="1" x14ac:dyDescent="0.25">
      <c r="A12426" t="s">
        <v>710</v>
      </c>
      <c r="B12426" t="s">
        <v>103</v>
      </c>
      <c r="C12426" s="2">
        <f>HYPERLINK("https://sao.dolgi.msk.ru/account/1404138924/", 1404138924)</f>
        <v>1404138924</v>
      </c>
      <c r="D12426">
        <v>-6550.49</v>
      </c>
    </row>
    <row r="12427" spans="1:4" hidden="1" x14ac:dyDescent="0.25">
      <c r="A12427" t="s">
        <v>710</v>
      </c>
      <c r="B12427" t="s">
        <v>104</v>
      </c>
      <c r="C12427" s="2">
        <f>HYPERLINK("https://sao.dolgi.msk.ru/account/1404137358/", 1404137358)</f>
        <v>1404137358</v>
      </c>
      <c r="D12427">
        <v>-7697.15</v>
      </c>
    </row>
    <row r="12428" spans="1:4" hidden="1" x14ac:dyDescent="0.25">
      <c r="A12428" t="s">
        <v>710</v>
      </c>
      <c r="B12428" t="s">
        <v>105</v>
      </c>
      <c r="C12428" s="2">
        <f>HYPERLINK("https://sao.dolgi.msk.ru/account/1404138019/", 1404138019)</f>
        <v>1404138019</v>
      </c>
      <c r="D12428">
        <v>-6127.15</v>
      </c>
    </row>
    <row r="12429" spans="1:4" x14ac:dyDescent="0.25">
      <c r="A12429" t="s">
        <v>710</v>
      </c>
      <c r="B12429" t="s">
        <v>106</v>
      </c>
      <c r="C12429" s="2">
        <f>HYPERLINK("https://sao.dolgi.msk.ru/account/1404137593/", 1404137593)</f>
        <v>1404137593</v>
      </c>
      <c r="D12429">
        <v>12554.2</v>
      </c>
    </row>
    <row r="12430" spans="1:4" hidden="1" x14ac:dyDescent="0.25">
      <c r="A12430" t="s">
        <v>710</v>
      </c>
      <c r="B12430" t="s">
        <v>107</v>
      </c>
      <c r="C12430" s="2">
        <f>HYPERLINK("https://sao.dolgi.msk.ru/account/1404138932/", 1404138932)</f>
        <v>1404138932</v>
      </c>
      <c r="D12430">
        <v>-4860.37</v>
      </c>
    </row>
    <row r="12431" spans="1:4" hidden="1" x14ac:dyDescent="0.25">
      <c r="A12431" t="s">
        <v>710</v>
      </c>
      <c r="B12431" t="s">
        <v>108</v>
      </c>
      <c r="C12431" s="2">
        <f>HYPERLINK("https://sao.dolgi.msk.ru/account/1404138238/", 1404138238)</f>
        <v>1404138238</v>
      </c>
      <c r="D12431">
        <v>-11089.6</v>
      </c>
    </row>
    <row r="12432" spans="1:4" hidden="1" x14ac:dyDescent="0.25">
      <c r="A12432" t="s">
        <v>710</v>
      </c>
      <c r="B12432" t="s">
        <v>109</v>
      </c>
      <c r="C12432" s="2">
        <f>HYPERLINK("https://sao.dolgi.msk.ru/account/1404138684/", 1404138684)</f>
        <v>1404138684</v>
      </c>
      <c r="D12432">
        <v>-11588.6</v>
      </c>
    </row>
    <row r="12433" spans="1:4" hidden="1" x14ac:dyDescent="0.25">
      <c r="A12433" t="s">
        <v>710</v>
      </c>
      <c r="B12433" t="s">
        <v>110</v>
      </c>
      <c r="C12433" s="2">
        <f>HYPERLINK("https://sao.dolgi.msk.ru/account/1404137833/", 1404137833)</f>
        <v>1404137833</v>
      </c>
      <c r="D12433">
        <v>-117.96</v>
      </c>
    </row>
    <row r="12434" spans="1:4" hidden="1" x14ac:dyDescent="0.25">
      <c r="A12434" t="s">
        <v>710</v>
      </c>
      <c r="B12434" t="s">
        <v>111</v>
      </c>
      <c r="C12434" s="2">
        <f>HYPERLINK("https://sao.dolgi.msk.ru/account/1404138246/", 1404138246)</f>
        <v>1404138246</v>
      </c>
      <c r="D12434">
        <v>-1218.3</v>
      </c>
    </row>
    <row r="12435" spans="1:4" hidden="1" x14ac:dyDescent="0.25">
      <c r="A12435" t="s">
        <v>710</v>
      </c>
      <c r="B12435" t="s">
        <v>112</v>
      </c>
      <c r="C12435" s="2">
        <f>HYPERLINK("https://sao.dolgi.msk.ru/account/1404138465/", 1404138465)</f>
        <v>1404138465</v>
      </c>
      <c r="D12435">
        <v>-3649.53</v>
      </c>
    </row>
    <row r="12436" spans="1:4" hidden="1" x14ac:dyDescent="0.25">
      <c r="A12436" t="s">
        <v>710</v>
      </c>
      <c r="B12436" t="s">
        <v>113</v>
      </c>
      <c r="C12436" s="2">
        <f>HYPERLINK("https://sao.dolgi.msk.ru/account/1404138959/", 1404138959)</f>
        <v>1404138959</v>
      </c>
      <c r="D12436">
        <v>-3970.17</v>
      </c>
    </row>
    <row r="12437" spans="1:4" x14ac:dyDescent="0.25">
      <c r="A12437" t="s">
        <v>710</v>
      </c>
      <c r="B12437" t="s">
        <v>114</v>
      </c>
      <c r="C12437" s="2">
        <f>HYPERLINK("https://sao.dolgi.msk.ru/account/1404138027/", 1404138027)</f>
        <v>1404138027</v>
      </c>
      <c r="D12437">
        <v>9524.16</v>
      </c>
    </row>
    <row r="12438" spans="1:4" hidden="1" x14ac:dyDescent="0.25">
      <c r="A12438" t="s">
        <v>710</v>
      </c>
      <c r="B12438" t="s">
        <v>115</v>
      </c>
      <c r="C12438" s="2">
        <f>HYPERLINK("https://sao.dolgi.msk.ru/account/1404138967/", 1404138967)</f>
        <v>1404138967</v>
      </c>
      <c r="D12438">
        <v>0</v>
      </c>
    </row>
    <row r="12439" spans="1:4" hidden="1" x14ac:dyDescent="0.25">
      <c r="A12439" t="s">
        <v>710</v>
      </c>
      <c r="B12439" t="s">
        <v>116</v>
      </c>
      <c r="C12439" s="2">
        <f>HYPERLINK("https://sao.dolgi.msk.ru/account/1404138254/", 1404138254)</f>
        <v>1404138254</v>
      </c>
      <c r="D12439">
        <v>-4991.43</v>
      </c>
    </row>
    <row r="12440" spans="1:4" x14ac:dyDescent="0.25">
      <c r="A12440" t="s">
        <v>710</v>
      </c>
      <c r="B12440" t="s">
        <v>117</v>
      </c>
      <c r="C12440" s="2">
        <f>HYPERLINK("https://sao.dolgi.msk.ru/account/1404138975/", 1404138975)</f>
        <v>1404138975</v>
      </c>
      <c r="D12440">
        <v>3848.47</v>
      </c>
    </row>
    <row r="12441" spans="1:4" x14ac:dyDescent="0.25">
      <c r="A12441" t="s">
        <v>710</v>
      </c>
      <c r="B12441" t="s">
        <v>118</v>
      </c>
      <c r="C12441" s="2">
        <f>HYPERLINK("https://sao.dolgi.msk.ru/account/1404137366/", 1404137366)</f>
        <v>1404137366</v>
      </c>
      <c r="D12441">
        <v>17102.96</v>
      </c>
    </row>
    <row r="12442" spans="1:4" hidden="1" x14ac:dyDescent="0.25">
      <c r="A12442" t="s">
        <v>710</v>
      </c>
      <c r="B12442" t="s">
        <v>119</v>
      </c>
      <c r="C12442" s="2">
        <f>HYPERLINK("https://sao.dolgi.msk.ru/account/1404138692/", 1404138692)</f>
        <v>1404138692</v>
      </c>
      <c r="D12442">
        <v>-6161.38</v>
      </c>
    </row>
    <row r="12443" spans="1:4" hidden="1" x14ac:dyDescent="0.25">
      <c r="A12443" t="s">
        <v>710</v>
      </c>
      <c r="B12443" t="s">
        <v>120</v>
      </c>
      <c r="C12443" s="2">
        <f>HYPERLINK("https://sao.dolgi.msk.ru/account/1404137374/", 1404137374)</f>
        <v>1404137374</v>
      </c>
      <c r="D12443">
        <v>-3587.1</v>
      </c>
    </row>
    <row r="12444" spans="1:4" hidden="1" x14ac:dyDescent="0.25">
      <c r="A12444" t="s">
        <v>710</v>
      </c>
      <c r="B12444" t="s">
        <v>121</v>
      </c>
      <c r="C12444" s="2">
        <f>HYPERLINK("https://sao.dolgi.msk.ru/account/1404137614/", 1404137614)</f>
        <v>1404137614</v>
      </c>
      <c r="D12444">
        <v>-2429.71</v>
      </c>
    </row>
    <row r="12445" spans="1:4" hidden="1" x14ac:dyDescent="0.25">
      <c r="A12445" t="s">
        <v>710</v>
      </c>
      <c r="B12445" t="s">
        <v>122</v>
      </c>
      <c r="C12445" s="2">
        <f>HYPERLINK("https://sao.dolgi.msk.ru/account/1404138983/", 1404138983)</f>
        <v>1404138983</v>
      </c>
      <c r="D12445">
        <v>-3485.25</v>
      </c>
    </row>
    <row r="12446" spans="1:4" hidden="1" x14ac:dyDescent="0.25">
      <c r="A12446" t="s">
        <v>710</v>
      </c>
      <c r="B12446" t="s">
        <v>123</v>
      </c>
      <c r="C12446" s="2">
        <f>HYPERLINK("https://sao.dolgi.msk.ru/account/1404137841/", 1404137841)</f>
        <v>1404137841</v>
      </c>
      <c r="D12446">
        <v>-5723.03</v>
      </c>
    </row>
    <row r="12447" spans="1:4" hidden="1" x14ac:dyDescent="0.25">
      <c r="A12447" t="s">
        <v>710</v>
      </c>
      <c r="B12447" t="s">
        <v>124</v>
      </c>
      <c r="C12447" s="2">
        <f>HYPERLINK("https://sao.dolgi.msk.ru/account/1404137876/", 1404137876)</f>
        <v>1404137876</v>
      </c>
      <c r="D12447">
        <v>-1978.45</v>
      </c>
    </row>
    <row r="12448" spans="1:4" hidden="1" x14ac:dyDescent="0.25">
      <c r="A12448" t="s">
        <v>710</v>
      </c>
      <c r="B12448" t="s">
        <v>125</v>
      </c>
      <c r="C12448" s="2">
        <f>HYPERLINK("https://sao.dolgi.msk.ru/account/1404137884/", 1404137884)</f>
        <v>1404137884</v>
      </c>
      <c r="D12448">
        <v>-3172.42</v>
      </c>
    </row>
    <row r="12449" spans="1:4" hidden="1" x14ac:dyDescent="0.25">
      <c r="A12449" t="s">
        <v>710</v>
      </c>
      <c r="B12449" t="s">
        <v>126</v>
      </c>
      <c r="C12449" s="2">
        <f>HYPERLINK("https://sao.dolgi.msk.ru/account/1404138705/", 1404138705)</f>
        <v>1404138705</v>
      </c>
      <c r="D12449">
        <v>-7048.83</v>
      </c>
    </row>
    <row r="12450" spans="1:4" hidden="1" x14ac:dyDescent="0.25">
      <c r="A12450" t="s">
        <v>710</v>
      </c>
      <c r="B12450" t="s">
        <v>127</v>
      </c>
      <c r="C12450" s="2">
        <f>HYPERLINK("https://sao.dolgi.msk.ru/account/1404138035/", 1404138035)</f>
        <v>1404138035</v>
      </c>
      <c r="D12450">
        <v>0</v>
      </c>
    </row>
    <row r="12451" spans="1:4" x14ac:dyDescent="0.25">
      <c r="A12451" t="s">
        <v>710</v>
      </c>
      <c r="B12451" t="s">
        <v>128</v>
      </c>
      <c r="C12451" s="2">
        <f>HYPERLINK("https://sao.dolgi.msk.ru/account/1404138262/", 1404138262)</f>
        <v>1404138262</v>
      </c>
      <c r="D12451">
        <v>7656.16</v>
      </c>
    </row>
    <row r="12452" spans="1:4" hidden="1" x14ac:dyDescent="0.25">
      <c r="A12452" t="s">
        <v>710</v>
      </c>
      <c r="B12452" t="s">
        <v>129</v>
      </c>
      <c r="C12452" s="2">
        <f>HYPERLINK("https://sao.dolgi.msk.ru/account/1404138473/", 1404138473)</f>
        <v>1404138473</v>
      </c>
      <c r="D12452">
        <v>-5436.89</v>
      </c>
    </row>
    <row r="12453" spans="1:4" hidden="1" x14ac:dyDescent="0.25">
      <c r="A12453" t="s">
        <v>710</v>
      </c>
      <c r="B12453" t="s">
        <v>130</v>
      </c>
      <c r="C12453" s="2">
        <f>HYPERLINK("https://sao.dolgi.msk.ru/account/1404138289/", 1404138289)</f>
        <v>1404138289</v>
      </c>
      <c r="D12453">
        <v>-4859.9399999999996</v>
      </c>
    </row>
    <row r="12454" spans="1:4" hidden="1" x14ac:dyDescent="0.25">
      <c r="A12454" t="s">
        <v>710</v>
      </c>
      <c r="B12454" t="s">
        <v>131</v>
      </c>
      <c r="C12454" s="2">
        <f>HYPERLINK("https://sao.dolgi.msk.ru/account/1404137892/", 1404137892)</f>
        <v>1404137892</v>
      </c>
      <c r="D12454">
        <v>-6292.4</v>
      </c>
    </row>
    <row r="12455" spans="1:4" x14ac:dyDescent="0.25">
      <c r="A12455" t="s">
        <v>710</v>
      </c>
      <c r="B12455" t="s">
        <v>132</v>
      </c>
      <c r="C12455" s="2">
        <f>HYPERLINK("https://sao.dolgi.msk.ru/account/1404137382/", 1404137382)</f>
        <v>1404137382</v>
      </c>
      <c r="D12455">
        <v>4393.97</v>
      </c>
    </row>
    <row r="12456" spans="1:4" hidden="1" x14ac:dyDescent="0.25">
      <c r="A12456" t="s">
        <v>710</v>
      </c>
      <c r="B12456" t="s">
        <v>133</v>
      </c>
      <c r="C12456" s="2">
        <f>HYPERLINK("https://sao.dolgi.msk.ru/account/1404137905/", 1404137905)</f>
        <v>1404137905</v>
      </c>
      <c r="D12456">
        <v>-5819.65</v>
      </c>
    </row>
    <row r="12457" spans="1:4" hidden="1" x14ac:dyDescent="0.25">
      <c r="A12457" t="s">
        <v>710</v>
      </c>
      <c r="B12457" t="s">
        <v>134</v>
      </c>
      <c r="C12457" s="2">
        <f>HYPERLINK("https://sao.dolgi.msk.ru/account/1404138318/", 1404138318)</f>
        <v>1404138318</v>
      </c>
      <c r="D12457">
        <v>0</v>
      </c>
    </row>
    <row r="12458" spans="1:4" hidden="1" x14ac:dyDescent="0.25">
      <c r="A12458" t="s">
        <v>710</v>
      </c>
      <c r="B12458" t="s">
        <v>135</v>
      </c>
      <c r="C12458" s="2">
        <f>HYPERLINK("https://sao.dolgi.msk.ru/account/1404138713/", 1404138713)</f>
        <v>1404138713</v>
      </c>
      <c r="D12458">
        <v>0</v>
      </c>
    </row>
    <row r="12459" spans="1:4" hidden="1" x14ac:dyDescent="0.25">
      <c r="A12459" t="s">
        <v>710</v>
      </c>
      <c r="B12459" t="s">
        <v>136</v>
      </c>
      <c r="C12459" s="2">
        <f>HYPERLINK("https://sao.dolgi.msk.ru/account/1404138043/", 1404138043)</f>
        <v>1404138043</v>
      </c>
      <c r="D12459">
        <v>0</v>
      </c>
    </row>
    <row r="12460" spans="1:4" hidden="1" x14ac:dyDescent="0.25">
      <c r="A12460" t="s">
        <v>710</v>
      </c>
      <c r="B12460" t="s">
        <v>137</v>
      </c>
      <c r="C12460" s="2">
        <f>HYPERLINK("https://sao.dolgi.msk.ru/account/1404137622/", 1404137622)</f>
        <v>1404137622</v>
      </c>
      <c r="D12460">
        <v>-5542.98</v>
      </c>
    </row>
    <row r="12461" spans="1:4" x14ac:dyDescent="0.25">
      <c r="A12461" t="s">
        <v>710</v>
      </c>
      <c r="B12461" t="s">
        <v>138</v>
      </c>
      <c r="C12461" s="2">
        <f>HYPERLINK("https://sao.dolgi.msk.ru/account/1404138051/", 1404138051)</f>
        <v>1404138051</v>
      </c>
      <c r="D12461">
        <v>448.66</v>
      </c>
    </row>
    <row r="12462" spans="1:4" hidden="1" x14ac:dyDescent="0.25">
      <c r="A12462" t="s">
        <v>710</v>
      </c>
      <c r="B12462" t="s">
        <v>139</v>
      </c>
      <c r="C12462" s="2">
        <f>HYPERLINK("https://sao.dolgi.msk.ru/account/1404138991/", 1404138991)</f>
        <v>1404138991</v>
      </c>
      <c r="D12462">
        <v>-3142.98</v>
      </c>
    </row>
    <row r="12463" spans="1:4" hidden="1" x14ac:dyDescent="0.25">
      <c r="A12463" t="s">
        <v>710</v>
      </c>
      <c r="B12463" t="s">
        <v>140</v>
      </c>
      <c r="C12463" s="2">
        <f>HYPERLINK("https://sao.dolgi.msk.ru/account/1404137403/", 1404137403)</f>
        <v>1404137403</v>
      </c>
      <c r="D12463">
        <v>-4063.96</v>
      </c>
    </row>
    <row r="12464" spans="1:4" hidden="1" x14ac:dyDescent="0.25">
      <c r="A12464" t="s">
        <v>710</v>
      </c>
      <c r="B12464" t="s">
        <v>141</v>
      </c>
      <c r="C12464" s="2">
        <f>HYPERLINK("https://sao.dolgi.msk.ru/account/1404138721/", 1404138721)</f>
        <v>1404138721</v>
      </c>
      <c r="D12464">
        <v>0</v>
      </c>
    </row>
    <row r="12465" spans="1:4" hidden="1" x14ac:dyDescent="0.25">
      <c r="A12465" t="s">
        <v>710</v>
      </c>
      <c r="B12465" t="s">
        <v>142</v>
      </c>
      <c r="C12465" s="2">
        <f>HYPERLINK("https://sao.dolgi.msk.ru/account/1404139003/", 1404139003)</f>
        <v>1404139003</v>
      </c>
      <c r="D12465">
        <v>0</v>
      </c>
    </row>
    <row r="12466" spans="1:4" hidden="1" x14ac:dyDescent="0.25">
      <c r="A12466" t="s">
        <v>710</v>
      </c>
      <c r="B12466" t="s">
        <v>143</v>
      </c>
      <c r="C12466" s="2">
        <f>HYPERLINK("https://sao.dolgi.msk.ru/account/1404138326/", 1404138326)</f>
        <v>1404138326</v>
      </c>
      <c r="D12466">
        <v>-253.1</v>
      </c>
    </row>
    <row r="12467" spans="1:4" hidden="1" x14ac:dyDescent="0.25">
      <c r="A12467" t="s">
        <v>710</v>
      </c>
      <c r="B12467" t="s">
        <v>144</v>
      </c>
      <c r="C12467" s="2">
        <f>HYPERLINK("https://sao.dolgi.msk.ru/account/1404138748/", 1404138748)</f>
        <v>1404138748</v>
      </c>
      <c r="D12467">
        <v>-201.72</v>
      </c>
    </row>
    <row r="12468" spans="1:4" hidden="1" x14ac:dyDescent="0.25">
      <c r="A12468" t="s">
        <v>710</v>
      </c>
      <c r="B12468" t="s">
        <v>145</v>
      </c>
      <c r="C12468" s="2">
        <f>HYPERLINK("https://sao.dolgi.msk.ru/account/1404138078/", 1404138078)</f>
        <v>1404138078</v>
      </c>
      <c r="D12468">
        <v>-3957.5</v>
      </c>
    </row>
    <row r="12469" spans="1:4" hidden="1" x14ac:dyDescent="0.25">
      <c r="A12469" t="s">
        <v>710</v>
      </c>
      <c r="B12469" t="s">
        <v>146</v>
      </c>
      <c r="C12469" s="2">
        <f>HYPERLINK("https://sao.dolgi.msk.ru/account/1404137913/", 1404137913)</f>
        <v>1404137913</v>
      </c>
      <c r="D12469">
        <v>-6997.38</v>
      </c>
    </row>
    <row r="12470" spans="1:4" hidden="1" x14ac:dyDescent="0.25">
      <c r="A12470" t="s">
        <v>710</v>
      </c>
      <c r="B12470" t="s">
        <v>147</v>
      </c>
      <c r="C12470" s="2">
        <f>HYPERLINK("https://sao.dolgi.msk.ru/account/1404138481/", 1404138481)</f>
        <v>1404138481</v>
      </c>
      <c r="D12470">
        <v>-7426.55</v>
      </c>
    </row>
    <row r="12471" spans="1:4" hidden="1" x14ac:dyDescent="0.25">
      <c r="A12471" t="s">
        <v>710</v>
      </c>
      <c r="B12471" t="s">
        <v>148</v>
      </c>
      <c r="C12471" s="2">
        <f>HYPERLINK("https://sao.dolgi.msk.ru/account/1404138086/", 1404138086)</f>
        <v>1404138086</v>
      </c>
      <c r="D12471">
        <v>-2321.4</v>
      </c>
    </row>
    <row r="12472" spans="1:4" x14ac:dyDescent="0.25">
      <c r="A12472" t="s">
        <v>711</v>
      </c>
      <c r="B12472" t="s">
        <v>5</v>
      </c>
      <c r="C12472" s="2">
        <f>HYPERLINK("https://sao.dolgi.msk.ru/account/1404208144/", 1404208144)</f>
        <v>1404208144</v>
      </c>
      <c r="D12472">
        <v>49248.05</v>
      </c>
    </row>
    <row r="12473" spans="1:4" x14ac:dyDescent="0.25">
      <c r="A12473" t="s">
        <v>711</v>
      </c>
      <c r="B12473" t="s">
        <v>6</v>
      </c>
      <c r="C12473" s="2">
        <f>HYPERLINK("https://sao.dolgi.msk.ru/account/1404208304/", 1404208304)</f>
        <v>1404208304</v>
      </c>
      <c r="D12473">
        <v>5489.16</v>
      </c>
    </row>
    <row r="12474" spans="1:4" x14ac:dyDescent="0.25">
      <c r="A12474" t="s">
        <v>711</v>
      </c>
      <c r="B12474" t="s">
        <v>7</v>
      </c>
      <c r="C12474" s="2">
        <f>HYPERLINK("https://sao.dolgi.msk.ru/account/1404208208/", 1404208208)</f>
        <v>1404208208</v>
      </c>
      <c r="D12474">
        <v>19066.810000000001</v>
      </c>
    </row>
    <row r="12475" spans="1:4" x14ac:dyDescent="0.25">
      <c r="A12475" t="s">
        <v>711</v>
      </c>
      <c r="B12475" t="s">
        <v>8</v>
      </c>
      <c r="C12475" s="2">
        <f>HYPERLINK("https://sao.dolgi.msk.ru/account/1404208574/", 1404208574)</f>
        <v>1404208574</v>
      </c>
      <c r="D12475">
        <v>4184.26</v>
      </c>
    </row>
    <row r="12476" spans="1:4" hidden="1" x14ac:dyDescent="0.25">
      <c r="A12476" t="s">
        <v>711</v>
      </c>
      <c r="B12476" t="s">
        <v>9</v>
      </c>
      <c r="C12476" s="2">
        <f>HYPERLINK("https://sao.dolgi.msk.ru/account/1404209382/", 1404209382)</f>
        <v>1404209382</v>
      </c>
      <c r="D12476">
        <v>0</v>
      </c>
    </row>
    <row r="12477" spans="1:4" hidden="1" x14ac:dyDescent="0.25">
      <c r="A12477" t="s">
        <v>711</v>
      </c>
      <c r="B12477" t="s">
        <v>10</v>
      </c>
      <c r="C12477" s="2">
        <f>HYPERLINK("https://sao.dolgi.msk.ru/account/1404209526/", 1404209526)</f>
        <v>1404209526</v>
      </c>
      <c r="D12477">
        <v>-4794.43</v>
      </c>
    </row>
    <row r="12478" spans="1:4" hidden="1" x14ac:dyDescent="0.25">
      <c r="A12478" t="s">
        <v>711</v>
      </c>
      <c r="B12478" t="s">
        <v>11</v>
      </c>
      <c r="C12478" s="2">
        <f>HYPERLINK("https://sao.dolgi.msk.ru/account/1404207715/", 1404207715)</f>
        <v>1404207715</v>
      </c>
      <c r="D12478">
        <v>-526.61</v>
      </c>
    </row>
    <row r="12479" spans="1:4" hidden="1" x14ac:dyDescent="0.25">
      <c r="A12479" t="s">
        <v>711</v>
      </c>
      <c r="B12479" t="s">
        <v>12</v>
      </c>
      <c r="C12479" s="2">
        <f>HYPERLINK("https://sao.dolgi.msk.ru/account/1404209251/", 1404209251)</f>
        <v>1404209251</v>
      </c>
      <c r="D12479">
        <v>0</v>
      </c>
    </row>
    <row r="12480" spans="1:4" x14ac:dyDescent="0.25">
      <c r="A12480" t="s">
        <v>711</v>
      </c>
      <c r="B12480" t="s">
        <v>13</v>
      </c>
      <c r="C12480" s="2">
        <f>HYPERLINK("https://sao.dolgi.msk.ru/account/1404207627/", 1404207627)</f>
        <v>1404207627</v>
      </c>
      <c r="D12480">
        <v>102491.04</v>
      </c>
    </row>
    <row r="12481" spans="1:4" hidden="1" x14ac:dyDescent="0.25">
      <c r="A12481" t="s">
        <v>711</v>
      </c>
      <c r="B12481" t="s">
        <v>14</v>
      </c>
      <c r="C12481" s="2">
        <f>HYPERLINK("https://sao.dolgi.msk.ru/account/1404208929/", 1404208929)</f>
        <v>1404208929</v>
      </c>
      <c r="D12481">
        <v>-2794.97</v>
      </c>
    </row>
    <row r="12482" spans="1:4" hidden="1" x14ac:dyDescent="0.25">
      <c r="A12482" t="s">
        <v>711</v>
      </c>
      <c r="B12482" t="s">
        <v>15</v>
      </c>
      <c r="C12482" s="2">
        <f>HYPERLINK("https://sao.dolgi.msk.ru/account/1404209809/", 1404209809)</f>
        <v>1404209809</v>
      </c>
      <c r="D12482">
        <v>0</v>
      </c>
    </row>
    <row r="12483" spans="1:4" x14ac:dyDescent="0.25">
      <c r="A12483" t="s">
        <v>711</v>
      </c>
      <c r="B12483" t="s">
        <v>16</v>
      </c>
      <c r="C12483" s="2">
        <f>HYPERLINK("https://sao.dolgi.msk.ru/account/1404208355/", 1404208355)</f>
        <v>1404208355</v>
      </c>
      <c r="D12483">
        <v>65147.05</v>
      </c>
    </row>
    <row r="12484" spans="1:4" hidden="1" x14ac:dyDescent="0.25">
      <c r="A12484" t="s">
        <v>711</v>
      </c>
      <c r="B12484" t="s">
        <v>17</v>
      </c>
      <c r="C12484" s="2">
        <f>HYPERLINK("https://sao.dolgi.msk.ru/account/1404209067/", 1404209067)</f>
        <v>1404209067</v>
      </c>
      <c r="D12484">
        <v>-12031.7</v>
      </c>
    </row>
    <row r="12485" spans="1:4" hidden="1" x14ac:dyDescent="0.25">
      <c r="A12485" t="s">
        <v>711</v>
      </c>
      <c r="B12485" t="s">
        <v>18</v>
      </c>
      <c r="C12485" s="2">
        <f>HYPERLINK("https://sao.dolgi.msk.ru/account/1404208259/", 1404208259)</f>
        <v>1404208259</v>
      </c>
      <c r="D12485">
        <v>-2562</v>
      </c>
    </row>
    <row r="12486" spans="1:4" hidden="1" x14ac:dyDescent="0.25">
      <c r="A12486" t="s">
        <v>711</v>
      </c>
      <c r="B12486" t="s">
        <v>19</v>
      </c>
      <c r="C12486" s="2">
        <f>HYPERLINK("https://sao.dolgi.msk.ru/account/1404208072/", 1404208072)</f>
        <v>1404208072</v>
      </c>
      <c r="D12486">
        <v>-6355.47</v>
      </c>
    </row>
    <row r="12487" spans="1:4" x14ac:dyDescent="0.25">
      <c r="A12487" t="s">
        <v>711</v>
      </c>
      <c r="B12487" t="s">
        <v>20</v>
      </c>
      <c r="C12487" s="2">
        <f>HYPERLINK("https://sao.dolgi.msk.ru/account/1404210148/", 1404210148)</f>
        <v>1404210148</v>
      </c>
      <c r="D12487">
        <v>14090.98</v>
      </c>
    </row>
    <row r="12488" spans="1:4" hidden="1" x14ac:dyDescent="0.25">
      <c r="A12488" t="s">
        <v>711</v>
      </c>
      <c r="B12488" t="s">
        <v>21</v>
      </c>
      <c r="C12488" s="2">
        <f>HYPERLINK("https://sao.dolgi.msk.ru/account/1404209745/", 1404209745)</f>
        <v>1404209745</v>
      </c>
      <c r="D12488">
        <v>-13190.07</v>
      </c>
    </row>
    <row r="12489" spans="1:4" hidden="1" x14ac:dyDescent="0.25">
      <c r="A12489" t="s">
        <v>711</v>
      </c>
      <c r="B12489" t="s">
        <v>22</v>
      </c>
      <c r="C12489" s="2">
        <f>HYPERLINK("https://sao.dolgi.msk.ru/account/1404209972/", 1404209972)</f>
        <v>1404209972</v>
      </c>
      <c r="D12489">
        <v>0</v>
      </c>
    </row>
    <row r="12490" spans="1:4" hidden="1" x14ac:dyDescent="0.25">
      <c r="A12490" t="s">
        <v>711</v>
      </c>
      <c r="B12490" t="s">
        <v>23</v>
      </c>
      <c r="C12490" s="2">
        <f>HYPERLINK("https://sao.dolgi.msk.ru/account/1404206931/", 1404206931)</f>
        <v>1404206931</v>
      </c>
      <c r="D12490">
        <v>-6505.8</v>
      </c>
    </row>
    <row r="12491" spans="1:4" hidden="1" x14ac:dyDescent="0.25">
      <c r="A12491" t="s">
        <v>711</v>
      </c>
      <c r="B12491" t="s">
        <v>24</v>
      </c>
      <c r="C12491" s="2">
        <f>HYPERLINK("https://sao.dolgi.msk.ru/account/1404209921/", 1404209921)</f>
        <v>1404209921</v>
      </c>
      <c r="D12491">
        <v>-8923.14</v>
      </c>
    </row>
    <row r="12492" spans="1:4" x14ac:dyDescent="0.25">
      <c r="A12492" t="s">
        <v>711</v>
      </c>
      <c r="B12492" t="s">
        <v>25</v>
      </c>
      <c r="C12492" s="2">
        <f>HYPERLINK("https://sao.dolgi.msk.ru/account/1404209147/", 1404209147)</f>
        <v>1404209147</v>
      </c>
      <c r="D12492">
        <v>26558.31</v>
      </c>
    </row>
    <row r="12493" spans="1:4" hidden="1" x14ac:dyDescent="0.25">
      <c r="A12493" t="s">
        <v>711</v>
      </c>
      <c r="B12493" t="s">
        <v>26</v>
      </c>
      <c r="C12493" s="2">
        <f>HYPERLINK("https://sao.dolgi.msk.ru/account/1404209649/", 1404209649)</f>
        <v>1404209649</v>
      </c>
      <c r="D12493">
        <v>0</v>
      </c>
    </row>
    <row r="12494" spans="1:4" hidden="1" x14ac:dyDescent="0.25">
      <c r="A12494" t="s">
        <v>711</v>
      </c>
      <c r="B12494" t="s">
        <v>27</v>
      </c>
      <c r="C12494" s="2">
        <f>HYPERLINK("https://sao.dolgi.msk.ru/account/1404208363/", 1404208363)</f>
        <v>1404208363</v>
      </c>
      <c r="D12494">
        <v>0</v>
      </c>
    </row>
    <row r="12495" spans="1:4" x14ac:dyDescent="0.25">
      <c r="A12495" t="s">
        <v>711</v>
      </c>
      <c r="B12495" t="s">
        <v>28</v>
      </c>
      <c r="C12495" s="2">
        <f>HYPERLINK("https://sao.dolgi.msk.ru/account/1404208419/", 1404208419)</f>
        <v>1404208419</v>
      </c>
      <c r="D12495">
        <v>46077.8</v>
      </c>
    </row>
    <row r="12496" spans="1:4" hidden="1" x14ac:dyDescent="0.25">
      <c r="A12496" t="s">
        <v>711</v>
      </c>
      <c r="B12496" t="s">
        <v>29</v>
      </c>
      <c r="C12496" s="2">
        <f>HYPERLINK("https://sao.dolgi.msk.ru/account/1404209358/", 1404209358)</f>
        <v>1404209358</v>
      </c>
      <c r="D12496">
        <v>0</v>
      </c>
    </row>
    <row r="12497" spans="1:4" hidden="1" x14ac:dyDescent="0.25">
      <c r="A12497" t="s">
        <v>711</v>
      </c>
      <c r="B12497" t="s">
        <v>30</v>
      </c>
      <c r="C12497" s="2">
        <f>HYPERLINK("https://sao.dolgi.msk.ru/account/1404207651/", 1404207651)</f>
        <v>1404207651</v>
      </c>
      <c r="D12497">
        <v>-5013.67</v>
      </c>
    </row>
    <row r="12498" spans="1:4" x14ac:dyDescent="0.25">
      <c r="A12498" t="s">
        <v>711</v>
      </c>
      <c r="B12498" t="s">
        <v>31</v>
      </c>
      <c r="C12498" s="2">
        <f>HYPERLINK("https://sao.dolgi.msk.ru/account/1404207248/", 1404207248)</f>
        <v>1404207248</v>
      </c>
      <c r="D12498">
        <v>14558.1</v>
      </c>
    </row>
    <row r="12499" spans="1:4" x14ac:dyDescent="0.25">
      <c r="A12499" t="s">
        <v>711</v>
      </c>
      <c r="B12499" t="s">
        <v>32</v>
      </c>
      <c r="C12499" s="2">
        <f>HYPERLINK("https://sao.dolgi.msk.ru/account/1404207272/", 1404207272)</f>
        <v>1404207272</v>
      </c>
      <c r="D12499">
        <v>29184.3</v>
      </c>
    </row>
    <row r="12500" spans="1:4" x14ac:dyDescent="0.25">
      <c r="A12500" t="s">
        <v>711</v>
      </c>
      <c r="B12500" t="s">
        <v>33</v>
      </c>
      <c r="C12500" s="2">
        <f>HYPERLINK("https://sao.dolgi.msk.ru/account/1404208646/", 1404208646)</f>
        <v>1404208646</v>
      </c>
      <c r="D12500">
        <v>32732.26</v>
      </c>
    </row>
    <row r="12501" spans="1:4" x14ac:dyDescent="0.25">
      <c r="A12501" t="s">
        <v>711</v>
      </c>
      <c r="B12501" t="s">
        <v>34</v>
      </c>
      <c r="C12501" s="2">
        <f>HYPERLINK("https://sao.dolgi.msk.ru/account/1404210244/", 1404210244)</f>
        <v>1404210244</v>
      </c>
      <c r="D12501">
        <v>6364.08</v>
      </c>
    </row>
    <row r="12502" spans="1:4" x14ac:dyDescent="0.25">
      <c r="A12502" t="s">
        <v>711</v>
      </c>
      <c r="B12502" t="s">
        <v>35</v>
      </c>
      <c r="C12502" s="2">
        <f>HYPERLINK("https://sao.dolgi.msk.ru/account/1404208654/", 1404208654)</f>
        <v>1404208654</v>
      </c>
      <c r="D12502">
        <v>39817.870000000003</v>
      </c>
    </row>
    <row r="12503" spans="1:4" x14ac:dyDescent="0.25">
      <c r="A12503" t="s">
        <v>711</v>
      </c>
      <c r="B12503" t="s">
        <v>36</v>
      </c>
      <c r="C12503" s="2">
        <f>HYPERLINK("https://sao.dolgi.msk.ru/account/1404209446/", 1404209446)</f>
        <v>1404209446</v>
      </c>
      <c r="D12503">
        <v>29985.91</v>
      </c>
    </row>
    <row r="12504" spans="1:4" hidden="1" x14ac:dyDescent="0.25">
      <c r="A12504" t="s">
        <v>711</v>
      </c>
      <c r="B12504" t="s">
        <v>37</v>
      </c>
      <c r="C12504" s="2">
        <f>HYPERLINK("https://sao.dolgi.msk.ru/account/1404207344/", 1404207344)</f>
        <v>1404207344</v>
      </c>
      <c r="D12504">
        <v>-11246.2</v>
      </c>
    </row>
    <row r="12505" spans="1:4" hidden="1" x14ac:dyDescent="0.25">
      <c r="A12505" t="s">
        <v>711</v>
      </c>
      <c r="B12505" t="s">
        <v>38</v>
      </c>
      <c r="C12505" s="2">
        <f>HYPERLINK("https://sao.dolgi.msk.ru/account/1404207352/", 1404207352)</f>
        <v>1404207352</v>
      </c>
      <c r="D12505">
        <v>-4887.78</v>
      </c>
    </row>
    <row r="12506" spans="1:4" hidden="1" x14ac:dyDescent="0.25">
      <c r="A12506" t="s">
        <v>711</v>
      </c>
      <c r="B12506" t="s">
        <v>39</v>
      </c>
      <c r="C12506" s="2">
        <f>HYPERLINK("https://sao.dolgi.msk.ru/account/1404209112/", 1404209112)</f>
        <v>1404209112</v>
      </c>
      <c r="D12506">
        <v>-8302.7199999999993</v>
      </c>
    </row>
    <row r="12507" spans="1:4" hidden="1" x14ac:dyDescent="0.25">
      <c r="A12507" t="s">
        <v>711</v>
      </c>
      <c r="B12507" t="s">
        <v>40</v>
      </c>
      <c r="C12507" s="2">
        <f>HYPERLINK("https://sao.dolgi.msk.ru/account/1404207846/", 1404207846)</f>
        <v>1404207846</v>
      </c>
      <c r="D12507">
        <v>-8458.19</v>
      </c>
    </row>
    <row r="12508" spans="1:4" x14ac:dyDescent="0.25">
      <c r="A12508" t="s">
        <v>711</v>
      </c>
      <c r="B12508" t="s">
        <v>41</v>
      </c>
      <c r="C12508" s="2">
        <f>HYPERLINK("https://sao.dolgi.msk.ru/account/1404206886/", 1404206886)</f>
        <v>1404206886</v>
      </c>
      <c r="D12508">
        <v>80252.5</v>
      </c>
    </row>
    <row r="12509" spans="1:4" hidden="1" x14ac:dyDescent="0.25">
      <c r="A12509" t="s">
        <v>711</v>
      </c>
      <c r="B12509" t="s">
        <v>42</v>
      </c>
      <c r="C12509" s="2">
        <f>HYPERLINK("https://sao.dolgi.msk.ru/account/1404206878/", 1404206878)</f>
        <v>1404206878</v>
      </c>
      <c r="D12509">
        <v>-4409.78</v>
      </c>
    </row>
    <row r="12510" spans="1:4" hidden="1" x14ac:dyDescent="0.25">
      <c r="A12510" t="s">
        <v>711</v>
      </c>
      <c r="B12510" t="s">
        <v>43</v>
      </c>
      <c r="C12510" s="2">
        <f>HYPERLINK("https://sao.dolgi.msk.ru/account/1404208478/", 1404208478)</f>
        <v>1404208478</v>
      </c>
      <c r="D12510">
        <v>0</v>
      </c>
    </row>
    <row r="12511" spans="1:4" hidden="1" x14ac:dyDescent="0.25">
      <c r="A12511" t="s">
        <v>711</v>
      </c>
      <c r="B12511" t="s">
        <v>44</v>
      </c>
      <c r="C12511" s="2">
        <f>HYPERLINK("https://sao.dolgi.msk.ru/account/1404208582/", 1404208582)</f>
        <v>1404208582</v>
      </c>
      <c r="D12511">
        <v>0</v>
      </c>
    </row>
    <row r="12512" spans="1:4" hidden="1" x14ac:dyDescent="0.25">
      <c r="A12512" t="s">
        <v>711</v>
      </c>
      <c r="B12512" t="s">
        <v>45</v>
      </c>
      <c r="C12512" s="2">
        <f>HYPERLINK("https://sao.dolgi.msk.ru/account/1404207192/", 1404207192)</f>
        <v>1404207192</v>
      </c>
      <c r="D12512">
        <v>-12513.24</v>
      </c>
    </row>
    <row r="12513" spans="1:4" hidden="1" x14ac:dyDescent="0.25">
      <c r="A12513" t="s">
        <v>711</v>
      </c>
      <c r="B12513" t="s">
        <v>46</v>
      </c>
      <c r="C12513" s="2">
        <f>HYPERLINK("https://sao.dolgi.msk.ru/account/1404207678/", 1404207678)</f>
        <v>1404207678</v>
      </c>
      <c r="D12513">
        <v>0</v>
      </c>
    </row>
    <row r="12514" spans="1:4" hidden="1" x14ac:dyDescent="0.25">
      <c r="A12514" t="s">
        <v>711</v>
      </c>
      <c r="B12514" t="s">
        <v>47</v>
      </c>
      <c r="C12514" s="2">
        <f>HYPERLINK("https://sao.dolgi.msk.ru/account/1404207205/", 1404207205)</f>
        <v>1404207205</v>
      </c>
      <c r="D12514">
        <v>-8620.34</v>
      </c>
    </row>
    <row r="12515" spans="1:4" hidden="1" x14ac:dyDescent="0.25">
      <c r="A12515" t="s">
        <v>711</v>
      </c>
      <c r="B12515" t="s">
        <v>48</v>
      </c>
      <c r="C12515" s="2">
        <f>HYPERLINK("https://sao.dolgi.msk.ru/account/1404210201/", 1404210201)</f>
        <v>1404210201</v>
      </c>
      <c r="D12515">
        <v>-9019.41</v>
      </c>
    </row>
    <row r="12516" spans="1:4" hidden="1" x14ac:dyDescent="0.25">
      <c r="A12516" t="s">
        <v>711</v>
      </c>
      <c r="B12516" t="s">
        <v>49</v>
      </c>
      <c r="C12516" s="2">
        <f>HYPERLINK("https://sao.dolgi.msk.ru/account/1404210228/", 1404210228)</f>
        <v>1404210228</v>
      </c>
      <c r="D12516">
        <v>-10684.54</v>
      </c>
    </row>
    <row r="12517" spans="1:4" x14ac:dyDescent="0.25">
      <c r="A12517" t="s">
        <v>711</v>
      </c>
      <c r="B12517" t="s">
        <v>50</v>
      </c>
      <c r="C12517" s="2">
        <f>HYPERLINK("https://sao.dolgi.msk.ru/account/1404208996/", 1404208996)</f>
        <v>1404208996</v>
      </c>
      <c r="D12517">
        <v>22299.67</v>
      </c>
    </row>
    <row r="12518" spans="1:4" x14ac:dyDescent="0.25">
      <c r="A12518" t="s">
        <v>711</v>
      </c>
      <c r="B12518" t="s">
        <v>51</v>
      </c>
      <c r="C12518" s="2">
        <f>HYPERLINK("https://sao.dolgi.msk.ru/account/1404207213/", 1404207213)</f>
        <v>1404207213</v>
      </c>
      <c r="D12518">
        <v>22817.94</v>
      </c>
    </row>
    <row r="12519" spans="1:4" x14ac:dyDescent="0.25">
      <c r="A12519" t="s">
        <v>711</v>
      </c>
      <c r="B12519" t="s">
        <v>52</v>
      </c>
      <c r="C12519" s="2">
        <f>HYPERLINK("https://sao.dolgi.msk.ru/account/1404207221/", 1404207221)</f>
        <v>1404207221</v>
      </c>
      <c r="D12519">
        <v>40518.07</v>
      </c>
    </row>
    <row r="12520" spans="1:4" x14ac:dyDescent="0.25">
      <c r="A12520" t="s">
        <v>711</v>
      </c>
      <c r="B12520" t="s">
        <v>53</v>
      </c>
      <c r="C12520" s="2">
        <f>HYPERLINK("https://sao.dolgi.msk.ru/account/1404209008/", 1404209008)</f>
        <v>1404209008</v>
      </c>
      <c r="D12520">
        <v>27084.77</v>
      </c>
    </row>
    <row r="12521" spans="1:4" hidden="1" x14ac:dyDescent="0.25">
      <c r="A12521" t="s">
        <v>711</v>
      </c>
      <c r="B12521" t="s">
        <v>54</v>
      </c>
      <c r="C12521" s="2">
        <f>HYPERLINK("https://sao.dolgi.msk.ru/account/1404209817/", 1404209817)</f>
        <v>1404209817</v>
      </c>
      <c r="D12521">
        <v>0</v>
      </c>
    </row>
    <row r="12522" spans="1:4" hidden="1" x14ac:dyDescent="0.25">
      <c r="A12522" t="s">
        <v>711</v>
      </c>
      <c r="B12522" t="s">
        <v>55</v>
      </c>
      <c r="C12522" s="2">
        <f>HYPERLINK("https://sao.dolgi.msk.ru/account/1404208603/", 1404208603)</f>
        <v>1404208603</v>
      </c>
      <c r="D12522">
        <v>-7175.5</v>
      </c>
    </row>
    <row r="12523" spans="1:4" hidden="1" x14ac:dyDescent="0.25">
      <c r="A12523" t="s">
        <v>711</v>
      </c>
      <c r="B12523" t="s">
        <v>56</v>
      </c>
      <c r="C12523" s="2">
        <f>HYPERLINK("https://sao.dolgi.msk.ru/account/1404209403/", 1404209403)</f>
        <v>1404209403</v>
      </c>
      <c r="D12523">
        <v>-7030.93</v>
      </c>
    </row>
    <row r="12524" spans="1:4" x14ac:dyDescent="0.25">
      <c r="A12524" t="s">
        <v>711</v>
      </c>
      <c r="B12524" t="s">
        <v>57</v>
      </c>
      <c r="C12524" s="2">
        <f>HYPERLINK("https://sao.dolgi.msk.ru/account/1404207686/", 1404207686)</f>
        <v>1404207686</v>
      </c>
      <c r="D12524">
        <v>26913.95</v>
      </c>
    </row>
    <row r="12525" spans="1:4" hidden="1" x14ac:dyDescent="0.25">
      <c r="A12525" t="s">
        <v>711</v>
      </c>
      <c r="B12525" t="s">
        <v>59</v>
      </c>
      <c r="C12525" s="2">
        <f>HYPERLINK("https://sao.dolgi.msk.ru/account/1404209892/", 1404209892)</f>
        <v>1404209892</v>
      </c>
      <c r="D12525">
        <v>0</v>
      </c>
    </row>
    <row r="12526" spans="1:4" hidden="1" x14ac:dyDescent="0.25">
      <c r="A12526" t="s">
        <v>711</v>
      </c>
      <c r="B12526" t="s">
        <v>60</v>
      </c>
      <c r="C12526" s="2">
        <f>HYPERLINK("https://sao.dolgi.msk.ru/account/1404208275/", 1404208275)</f>
        <v>1404208275</v>
      </c>
      <c r="D12526">
        <v>-11278.21</v>
      </c>
    </row>
    <row r="12527" spans="1:4" x14ac:dyDescent="0.25">
      <c r="A12527" t="s">
        <v>711</v>
      </c>
      <c r="B12527" t="s">
        <v>61</v>
      </c>
      <c r="C12527" s="2">
        <f>HYPERLINK("https://sao.dolgi.msk.ru/account/1404210295/", 1404210295)</f>
        <v>1404210295</v>
      </c>
      <c r="D12527">
        <v>25134.18</v>
      </c>
    </row>
    <row r="12528" spans="1:4" x14ac:dyDescent="0.25">
      <c r="A12528" t="s">
        <v>711</v>
      </c>
      <c r="B12528" t="s">
        <v>62</v>
      </c>
      <c r="C12528" s="2">
        <f>HYPERLINK("https://sao.dolgi.msk.ru/account/1404208718/", 1404208718)</f>
        <v>1404208718</v>
      </c>
      <c r="D12528">
        <v>21930.27</v>
      </c>
    </row>
    <row r="12529" spans="1:4" hidden="1" x14ac:dyDescent="0.25">
      <c r="A12529" t="s">
        <v>711</v>
      </c>
      <c r="B12529" t="s">
        <v>63</v>
      </c>
      <c r="C12529" s="2">
        <f>HYPERLINK("https://sao.dolgi.msk.ru/account/1404208726/", 1404208726)</f>
        <v>1404208726</v>
      </c>
      <c r="D12529">
        <v>0</v>
      </c>
    </row>
    <row r="12530" spans="1:4" hidden="1" x14ac:dyDescent="0.25">
      <c r="A12530" t="s">
        <v>711</v>
      </c>
      <c r="B12530" t="s">
        <v>64</v>
      </c>
      <c r="C12530" s="2">
        <f>HYPERLINK("https://sao.dolgi.msk.ru/account/1404209905/", 1404209905)</f>
        <v>1404209905</v>
      </c>
      <c r="D12530">
        <v>-6582.69</v>
      </c>
    </row>
    <row r="12531" spans="1:4" hidden="1" x14ac:dyDescent="0.25">
      <c r="A12531" t="s">
        <v>711</v>
      </c>
      <c r="B12531" t="s">
        <v>65</v>
      </c>
      <c r="C12531" s="2">
        <f>HYPERLINK("https://sao.dolgi.msk.ru/account/1404209913/", 1404209913)</f>
        <v>1404209913</v>
      </c>
      <c r="D12531">
        <v>-10928.3</v>
      </c>
    </row>
    <row r="12532" spans="1:4" hidden="1" x14ac:dyDescent="0.25">
      <c r="A12532" t="s">
        <v>711</v>
      </c>
      <c r="B12532" t="s">
        <v>66</v>
      </c>
      <c r="C12532" s="2">
        <f>HYPERLINK("https://sao.dolgi.msk.ru/account/1404207328/", 1404207328)</f>
        <v>1404207328</v>
      </c>
      <c r="D12532">
        <v>-2428.64</v>
      </c>
    </row>
    <row r="12533" spans="1:4" x14ac:dyDescent="0.25">
      <c r="A12533" t="s">
        <v>711</v>
      </c>
      <c r="B12533" t="s">
        <v>67</v>
      </c>
      <c r="C12533" s="2">
        <f>HYPERLINK("https://sao.dolgi.msk.ru/account/1404207811/", 1404207811)</f>
        <v>1404207811</v>
      </c>
      <c r="D12533">
        <v>13059.73</v>
      </c>
    </row>
    <row r="12534" spans="1:4" hidden="1" x14ac:dyDescent="0.25">
      <c r="A12534" t="s">
        <v>711</v>
      </c>
      <c r="B12534" t="s">
        <v>68</v>
      </c>
      <c r="C12534" s="2">
        <f>HYPERLINK("https://sao.dolgi.msk.ru/account/1404207336/", 1404207336)</f>
        <v>1404207336</v>
      </c>
      <c r="D12534">
        <v>-7173.27</v>
      </c>
    </row>
    <row r="12535" spans="1:4" hidden="1" x14ac:dyDescent="0.25">
      <c r="A12535" t="s">
        <v>711</v>
      </c>
      <c r="B12535" t="s">
        <v>69</v>
      </c>
      <c r="C12535" s="2">
        <f>HYPERLINK("https://sao.dolgi.msk.ru/account/1404209534/", 1404209534)</f>
        <v>1404209534</v>
      </c>
      <c r="D12535">
        <v>-7626.55</v>
      </c>
    </row>
    <row r="12536" spans="1:4" x14ac:dyDescent="0.25">
      <c r="A12536" t="s">
        <v>711</v>
      </c>
      <c r="B12536" t="s">
        <v>70</v>
      </c>
      <c r="C12536" s="2">
        <f>HYPERLINK("https://sao.dolgi.msk.ru/account/1404207838/", 1404207838)</f>
        <v>1404207838</v>
      </c>
      <c r="D12536">
        <v>11216.73</v>
      </c>
    </row>
    <row r="12537" spans="1:4" x14ac:dyDescent="0.25">
      <c r="A12537" t="s">
        <v>711</v>
      </c>
      <c r="B12537" t="s">
        <v>71</v>
      </c>
      <c r="C12537" s="2">
        <f>HYPERLINK("https://sao.dolgi.msk.ru/account/1404208734/", 1404208734)</f>
        <v>1404208734</v>
      </c>
      <c r="D12537">
        <v>24640.71</v>
      </c>
    </row>
    <row r="12538" spans="1:4" hidden="1" x14ac:dyDescent="0.25">
      <c r="A12538" t="s">
        <v>711</v>
      </c>
      <c r="B12538" t="s">
        <v>72</v>
      </c>
      <c r="C12538" s="2">
        <f>HYPERLINK("https://sao.dolgi.msk.ru/account/1404209825/", 1404209825)</f>
        <v>1404209825</v>
      </c>
      <c r="D12538">
        <v>-7732.22</v>
      </c>
    </row>
    <row r="12539" spans="1:4" hidden="1" x14ac:dyDescent="0.25">
      <c r="A12539" t="s">
        <v>711</v>
      </c>
      <c r="B12539" t="s">
        <v>73</v>
      </c>
      <c r="C12539" s="2">
        <f>HYPERLINK("https://sao.dolgi.msk.ru/account/1404208216/", 1404208216)</f>
        <v>1404208216</v>
      </c>
      <c r="D12539">
        <v>-74.099999999999994</v>
      </c>
    </row>
    <row r="12540" spans="1:4" hidden="1" x14ac:dyDescent="0.25">
      <c r="A12540" t="s">
        <v>711</v>
      </c>
      <c r="B12540" t="s">
        <v>74</v>
      </c>
      <c r="C12540" s="2">
        <f>HYPERLINK("https://sao.dolgi.msk.ru/account/1404209833/", 1404209833)</f>
        <v>1404209833</v>
      </c>
      <c r="D12540">
        <v>-6328.81</v>
      </c>
    </row>
    <row r="12541" spans="1:4" hidden="1" x14ac:dyDescent="0.25">
      <c r="A12541" t="s">
        <v>711</v>
      </c>
      <c r="B12541" t="s">
        <v>75</v>
      </c>
      <c r="C12541" s="2">
        <f>HYPERLINK("https://sao.dolgi.msk.ru/account/1404207723/", 1404207723)</f>
        <v>1404207723</v>
      </c>
      <c r="D12541">
        <v>0</v>
      </c>
    </row>
    <row r="12542" spans="1:4" hidden="1" x14ac:dyDescent="0.25">
      <c r="A12542" t="s">
        <v>711</v>
      </c>
      <c r="B12542" t="s">
        <v>76</v>
      </c>
      <c r="C12542" s="2">
        <f>HYPERLINK("https://sao.dolgi.msk.ru/account/1404209454/", 1404209454)</f>
        <v>1404209454</v>
      </c>
      <c r="D12542">
        <v>-9221.2000000000007</v>
      </c>
    </row>
    <row r="12543" spans="1:4" hidden="1" x14ac:dyDescent="0.25">
      <c r="A12543" t="s">
        <v>711</v>
      </c>
      <c r="B12543" t="s">
        <v>77</v>
      </c>
      <c r="C12543" s="2">
        <f>HYPERLINK("https://sao.dolgi.msk.ru/account/1404207731/", 1404207731)</f>
        <v>1404207731</v>
      </c>
      <c r="D12543">
        <v>-8215.5300000000007</v>
      </c>
    </row>
    <row r="12544" spans="1:4" hidden="1" x14ac:dyDescent="0.25">
      <c r="A12544" t="s">
        <v>711</v>
      </c>
      <c r="B12544" t="s">
        <v>78</v>
      </c>
      <c r="C12544" s="2">
        <f>HYPERLINK("https://sao.dolgi.msk.ru/account/1404208224/", 1404208224)</f>
        <v>1404208224</v>
      </c>
      <c r="D12544">
        <v>0</v>
      </c>
    </row>
    <row r="12545" spans="1:4" hidden="1" x14ac:dyDescent="0.25">
      <c r="A12545" t="s">
        <v>711</v>
      </c>
      <c r="B12545" t="s">
        <v>79</v>
      </c>
      <c r="C12545" s="2">
        <f>HYPERLINK("https://sao.dolgi.msk.ru/account/1404209841/", 1404209841)</f>
        <v>1404209841</v>
      </c>
      <c r="D12545">
        <v>0</v>
      </c>
    </row>
    <row r="12546" spans="1:4" hidden="1" x14ac:dyDescent="0.25">
      <c r="A12546" t="s">
        <v>711</v>
      </c>
      <c r="B12546" t="s">
        <v>80</v>
      </c>
      <c r="C12546" s="2">
        <f>HYPERLINK("https://sao.dolgi.msk.ru/account/1404207299/", 1404207299)</f>
        <v>1404207299</v>
      </c>
      <c r="D12546">
        <v>-10680.26</v>
      </c>
    </row>
    <row r="12547" spans="1:4" hidden="1" x14ac:dyDescent="0.25">
      <c r="A12547" t="s">
        <v>711</v>
      </c>
      <c r="B12547" t="s">
        <v>81</v>
      </c>
      <c r="C12547" s="2">
        <f>HYPERLINK("https://sao.dolgi.msk.ru/account/1404210252/", 1404210252)</f>
        <v>1404210252</v>
      </c>
      <c r="D12547">
        <v>0</v>
      </c>
    </row>
    <row r="12548" spans="1:4" x14ac:dyDescent="0.25">
      <c r="A12548" t="s">
        <v>711</v>
      </c>
      <c r="B12548" t="s">
        <v>82</v>
      </c>
      <c r="C12548" s="2">
        <f>HYPERLINK("https://sao.dolgi.msk.ru/account/1404207758/", 1404207758)</f>
        <v>1404207758</v>
      </c>
      <c r="D12548">
        <v>13119.15</v>
      </c>
    </row>
    <row r="12549" spans="1:4" hidden="1" x14ac:dyDescent="0.25">
      <c r="A12549" t="s">
        <v>711</v>
      </c>
      <c r="B12549" t="s">
        <v>83</v>
      </c>
      <c r="C12549" s="2">
        <f>HYPERLINK("https://sao.dolgi.msk.ru/account/1404209059/", 1404209059)</f>
        <v>1404209059</v>
      </c>
      <c r="D12549">
        <v>0</v>
      </c>
    </row>
    <row r="12550" spans="1:4" hidden="1" x14ac:dyDescent="0.25">
      <c r="A12550" t="s">
        <v>711</v>
      </c>
      <c r="B12550" t="s">
        <v>84</v>
      </c>
      <c r="C12550" s="2">
        <f>HYPERLINK("https://sao.dolgi.msk.ru/account/1404207125/", 1404207125)</f>
        <v>1404207125</v>
      </c>
      <c r="D12550">
        <v>-7010.89</v>
      </c>
    </row>
    <row r="12551" spans="1:4" hidden="1" x14ac:dyDescent="0.25">
      <c r="A12551" t="s">
        <v>711</v>
      </c>
      <c r="B12551" t="s">
        <v>85</v>
      </c>
      <c r="C12551" s="2">
        <f>HYPERLINK("https://sao.dolgi.msk.ru/account/1404210156/", 1404210156)</f>
        <v>1404210156</v>
      </c>
      <c r="D12551">
        <v>0</v>
      </c>
    </row>
    <row r="12552" spans="1:4" x14ac:dyDescent="0.25">
      <c r="A12552" t="s">
        <v>711</v>
      </c>
      <c r="B12552" t="s">
        <v>86</v>
      </c>
      <c r="C12552" s="2">
        <f>HYPERLINK("https://sao.dolgi.msk.ru/account/1404210164/", 1404210164)</f>
        <v>1404210164</v>
      </c>
      <c r="D12552">
        <v>881.69</v>
      </c>
    </row>
    <row r="12553" spans="1:4" hidden="1" x14ac:dyDescent="0.25">
      <c r="A12553" t="s">
        <v>711</v>
      </c>
      <c r="B12553" t="s">
        <v>87</v>
      </c>
      <c r="C12553" s="2">
        <f>HYPERLINK("https://sao.dolgi.msk.ru/account/1404209278/", 1404209278)</f>
        <v>1404209278</v>
      </c>
      <c r="D12553">
        <v>-8672.08</v>
      </c>
    </row>
    <row r="12554" spans="1:4" hidden="1" x14ac:dyDescent="0.25">
      <c r="A12554" t="s">
        <v>711</v>
      </c>
      <c r="B12554" t="s">
        <v>88</v>
      </c>
      <c r="C12554" s="2">
        <f>HYPERLINK("https://sao.dolgi.msk.ru/account/1404207598/", 1404207598)</f>
        <v>1404207598</v>
      </c>
      <c r="D12554">
        <v>0</v>
      </c>
    </row>
    <row r="12555" spans="1:4" x14ac:dyDescent="0.25">
      <c r="A12555" t="s">
        <v>711</v>
      </c>
      <c r="B12555" t="s">
        <v>89</v>
      </c>
      <c r="C12555" s="2">
        <f>HYPERLINK("https://sao.dolgi.msk.ru/account/1404208486/", 1404208486)</f>
        <v>1404208486</v>
      </c>
      <c r="D12555">
        <v>9847.8700000000008</v>
      </c>
    </row>
    <row r="12556" spans="1:4" hidden="1" x14ac:dyDescent="0.25">
      <c r="A12556" t="s">
        <v>711</v>
      </c>
      <c r="B12556" t="s">
        <v>90</v>
      </c>
      <c r="C12556" s="2">
        <f>HYPERLINK("https://sao.dolgi.msk.ru/account/1404209286/", 1404209286)</f>
        <v>1404209286</v>
      </c>
      <c r="D12556">
        <v>0</v>
      </c>
    </row>
    <row r="12557" spans="1:4" hidden="1" x14ac:dyDescent="0.25">
      <c r="A12557" t="s">
        <v>711</v>
      </c>
      <c r="B12557" t="s">
        <v>91</v>
      </c>
      <c r="C12557" s="2">
        <f>HYPERLINK("https://sao.dolgi.msk.ru/account/1404207619/", 1404207619)</f>
        <v>1404207619</v>
      </c>
      <c r="D12557">
        <v>-8305.1299999999992</v>
      </c>
    </row>
    <row r="12558" spans="1:4" hidden="1" x14ac:dyDescent="0.25">
      <c r="A12558" t="s">
        <v>711</v>
      </c>
      <c r="B12558" t="s">
        <v>92</v>
      </c>
      <c r="C12558" s="2">
        <f>HYPERLINK("https://sao.dolgi.msk.ru/account/1404208128/", 1404208128)</f>
        <v>1404208128</v>
      </c>
      <c r="D12558">
        <v>-6960.61</v>
      </c>
    </row>
    <row r="12559" spans="1:4" hidden="1" x14ac:dyDescent="0.25">
      <c r="A12559" t="s">
        <v>711</v>
      </c>
      <c r="B12559" t="s">
        <v>93</v>
      </c>
      <c r="C12559" s="2">
        <f>HYPERLINK("https://sao.dolgi.msk.ru/account/1404208136/", 1404208136)</f>
        <v>1404208136</v>
      </c>
      <c r="D12559">
        <v>0</v>
      </c>
    </row>
    <row r="12560" spans="1:4" hidden="1" x14ac:dyDescent="0.25">
      <c r="A12560" t="s">
        <v>711</v>
      </c>
      <c r="B12560" t="s">
        <v>94</v>
      </c>
      <c r="C12560" s="2">
        <f>HYPERLINK("https://sao.dolgi.msk.ru/account/1404209294/", 1404209294)</f>
        <v>1404209294</v>
      </c>
      <c r="D12560">
        <v>0</v>
      </c>
    </row>
    <row r="12561" spans="1:4" hidden="1" x14ac:dyDescent="0.25">
      <c r="A12561" t="s">
        <v>711</v>
      </c>
      <c r="B12561" t="s">
        <v>95</v>
      </c>
      <c r="C12561" s="2">
        <f>HYPERLINK("https://sao.dolgi.msk.ru/account/1404208902/", 1404208902)</f>
        <v>1404208902</v>
      </c>
      <c r="D12561">
        <v>-9523.06</v>
      </c>
    </row>
    <row r="12562" spans="1:4" x14ac:dyDescent="0.25">
      <c r="A12562" t="s">
        <v>711</v>
      </c>
      <c r="B12562" t="s">
        <v>96</v>
      </c>
      <c r="C12562" s="2">
        <f>HYPERLINK("https://sao.dolgi.msk.ru/account/1404209307/", 1404209307)</f>
        <v>1404209307</v>
      </c>
      <c r="D12562">
        <v>11994.93</v>
      </c>
    </row>
    <row r="12563" spans="1:4" x14ac:dyDescent="0.25">
      <c r="A12563" t="s">
        <v>711</v>
      </c>
      <c r="B12563" t="s">
        <v>97</v>
      </c>
      <c r="C12563" s="2">
        <f>HYPERLINK("https://sao.dolgi.msk.ru/account/1404209315/", 1404209315)</f>
        <v>1404209315</v>
      </c>
      <c r="D12563">
        <v>1771.34</v>
      </c>
    </row>
    <row r="12564" spans="1:4" x14ac:dyDescent="0.25">
      <c r="A12564" t="s">
        <v>711</v>
      </c>
      <c r="B12564" t="s">
        <v>98</v>
      </c>
      <c r="C12564" s="2">
        <f>HYPERLINK("https://sao.dolgi.msk.ru/account/1404206966/", 1404206966)</f>
        <v>1404206966</v>
      </c>
      <c r="D12564">
        <v>4708.24</v>
      </c>
    </row>
    <row r="12565" spans="1:4" hidden="1" x14ac:dyDescent="0.25">
      <c r="A12565" t="s">
        <v>711</v>
      </c>
      <c r="B12565" t="s">
        <v>99</v>
      </c>
      <c r="C12565" s="2">
        <f>HYPERLINK("https://sao.dolgi.msk.ru/account/1404208312/", 1404208312)</f>
        <v>1404208312</v>
      </c>
      <c r="D12565">
        <v>0</v>
      </c>
    </row>
    <row r="12566" spans="1:4" x14ac:dyDescent="0.25">
      <c r="A12566" t="s">
        <v>711</v>
      </c>
      <c r="B12566" t="s">
        <v>100</v>
      </c>
      <c r="C12566" s="2">
        <f>HYPERLINK("https://sao.dolgi.msk.ru/account/1404208339/", 1404208339)</f>
        <v>1404208339</v>
      </c>
      <c r="D12566">
        <v>9743.19</v>
      </c>
    </row>
    <row r="12567" spans="1:4" hidden="1" x14ac:dyDescent="0.25">
      <c r="A12567" t="s">
        <v>711</v>
      </c>
      <c r="B12567" t="s">
        <v>101</v>
      </c>
      <c r="C12567" s="2">
        <f>HYPERLINK("https://sao.dolgi.msk.ru/account/1404206974/", 1404206974)</f>
        <v>1404206974</v>
      </c>
      <c r="D12567">
        <v>0</v>
      </c>
    </row>
    <row r="12568" spans="1:4" x14ac:dyDescent="0.25">
      <c r="A12568" t="s">
        <v>711</v>
      </c>
      <c r="B12568" t="s">
        <v>102</v>
      </c>
      <c r="C12568" s="2">
        <f>HYPERLINK("https://sao.dolgi.msk.ru/account/1404208347/", 1404208347)</f>
        <v>1404208347</v>
      </c>
      <c r="D12568">
        <v>919.31</v>
      </c>
    </row>
    <row r="12569" spans="1:4" hidden="1" x14ac:dyDescent="0.25">
      <c r="A12569" t="s">
        <v>711</v>
      </c>
      <c r="B12569" t="s">
        <v>103</v>
      </c>
      <c r="C12569" s="2">
        <f>HYPERLINK("https://sao.dolgi.msk.ru/account/1404207459/", 1404207459)</f>
        <v>1404207459</v>
      </c>
      <c r="D12569">
        <v>0</v>
      </c>
    </row>
    <row r="12570" spans="1:4" hidden="1" x14ac:dyDescent="0.25">
      <c r="A12570" t="s">
        <v>711</v>
      </c>
      <c r="B12570" t="s">
        <v>104</v>
      </c>
      <c r="C12570" s="2">
        <f>HYPERLINK("https://sao.dolgi.msk.ru/account/1404207635/", 1404207635)</f>
        <v>1404207635</v>
      </c>
      <c r="D12570">
        <v>-9619.5499999999993</v>
      </c>
    </row>
    <row r="12571" spans="1:4" hidden="1" x14ac:dyDescent="0.25">
      <c r="A12571" t="s">
        <v>711</v>
      </c>
      <c r="B12571" t="s">
        <v>105</v>
      </c>
      <c r="C12571" s="2">
        <f>HYPERLINK("https://sao.dolgi.msk.ru/account/1404207133/", 1404207133)</f>
        <v>1404207133</v>
      </c>
      <c r="D12571">
        <v>-6603.28</v>
      </c>
    </row>
    <row r="12572" spans="1:4" hidden="1" x14ac:dyDescent="0.25">
      <c r="A12572" t="s">
        <v>711</v>
      </c>
      <c r="B12572" t="s">
        <v>106</v>
      </c>
      <c r="C12572" s="2">
        <f>HYPERLINK("https://sao.dolgi.msk.ru/account/1404209323/", 1404209323)</f>
        <v>1404209323</v>
      </c>
      <c r="D12572">
        <v>0</v>
      </c>
    </row>
    <row r="12573" spans="1:4" hidden="1" x14ac:dyDescent="0.25">
      <c r="A12573" t="s">
        <v>711</v>
      </c>
      <c r="B12573" t="s">
        <v>107</v>
      </c>
      <c r="C12573" s="2">
        <f>HYPERLINK("https://sao.dolgi.msk.ru/account/1404209753/", 1404209753)</f>
        <v>1404209753</v>
      </c>
      <c r="D12573">
        <v>-20200.28</v>
      </c>
    </row>
    <row r="12574" spans="1:4" x14ac:dyDescent="0.25">
      <c r="A12574" t="s">
        <v>711</v>
      </c>
      <c r="B12574" t="s">
        <v>108</v>
      </c>
      <c r="C12574" s="2">
        <f>HYPERLINK("https://sao.dolgi.msk.ru/account/1404208494/", 1404208494)</f>
        <v>1404208494</v>
      </c>
      <c r="D12574">
        <v>1601.85</v>
      </c>
    </row>
    <row r="12575" spans="1:4" hidden="1" x14ac:dyDescent="0.25">
      <c r="A12575" t="s">
        <v>711</v>
      </c>
      <c r="B12575" t="s">
        <v>109</v>
      </c>
      <c r="C12575" s="2">
        <f>HYPERLINK("https://sao.dolgi.msk.ru/account/1404208507/", 1404208507)</f>
        <v>1404208507</v>
      </c>
      <c r="D12575">
        <v>-4852.8599999999997</v>
      </c>
    </row>
    <row r="12576" spans="1:4" hidden="1" x14ac:dyDescent="0.25">
      <c r="A12576" t="s">
        <v>711</v>
      </c>
      <c r="B12576" t="s">
        <v>110</v>
      </c>
      <c r="C12576" s="2">
        <f>HYPERLINK("https://sao.dolgi.msk.ru/account/1404208937/", 1404208937)</f>
        <v>1404208937</v>
      </c>
      <c r="D12576">
        <v>0</v>
      </c>
    </row>
    <row r="12577" spans="1:4" hidden="1" x14ac:dyDescent="0.25">
      <c r="A12577" t="s">
        <v>711</v>
      </c>
      <c r="B12577" t="s">
        <v>111</v>
      </c>
      <c r="C12577" s="2">
        <f>HYPERLINK("https://sao.dolgi.msk.ru/account/1404207643/", 1404207643)</f>
        <v>1404207643</v>
      </c>
      <c r="D12577">
        <v>0</v>
      </c>
    </row>
    <row r="12578" spans="1:4" hidden="1" x14ac:dyDescent="0.25">
      <c r="A12578" t="s">
        <v>711</v>
      </c>
      <c r="B12578" t="s">
        <v>112</v>
      </c>
      <c r="C12578" s="2">
        <f>HYPERLINK("https://sao.dolgi.msk.ru/account/1404209331/", 1404209331)</f>
        <v>1404209331</v>
      </c>
      <c r="D12578">
        <v>-7664.98</v>
      </c>
    </row>
    <row r="12579" spans="1:4" hidden="1" x14ac:dyDescent="0.25">
      <c r="A12579" t="s">
        <v>711</v>
      </c>
      <c r="B12579" t="s">
        <v>113</v>
      </c>
      <c r="C12579" s="2">
        <f>HYPERLINK("https://sao.dolgi.msk.ru/account/1404207184/", 1404207184)</f>
        <v>1404207184</v>
      </c>
      <c r="D12579">
        <v>-8140.05</v>
      </c>
    </row>
    <row r="12580" spans="1:4" x14ac:dyDescent="0.25">
      <c r="A12580" t="s">
        <v>711</v>
      </c>
      <c r="B12580" t="s">
        <v>114</v>
      </c>
      <c r="C12580" s="2">
        <f>HYPERLINK("https://sao.dolgi.msk.ru/account/1404207416/", 1404207416)</f>
        <v>1404207416</v>
      </c>
      <c r="D12580">
        <v>1392.4</v>
      </c>
    </row>
    <row r="12581" spans="1:4" hidden="1" x14ac:dyDescent="0.25">
      <c r="A12581" t="s">
        <v>711</v>
      </c>
      <c r="B12581" t="s">
        <v>115</v>
      </c>
      <c r="C12581" s="2">
        <f>HYPERLINK("https://sao.dolgi.msk.ru/account/1404206907/", 1404206907)</f>
        <v>1404206907</v>
      </c>
      <c r="D12581">
        <v>0</v>
      </c>
    </row>
    <row r="12582" spans="1:4" x14ac:dyDescent="0.25">
      <c r="A12582" t="s">
        <v>711</v>
      </c>
      <c r="B12582" t="s">
        <v>116</v>
      </c>
      <c r="C12582" s="2">
        <f>HYPERLINK("https://sao.dolgi.msk.ru/account/1404206982/", 1404206982)</f>
        <v>1404206982</v>
      </c>
      <c r="D12582">
        <v>1910.34</v>
      </c>
    </row>
    <row r="12583" spans="1:4" x14ac:dyDescent="0.25">
      <c r="A12583" t="s">
        <v>711</v>
      </c>
      <c r="B12583" t="s">
        <v>117</v>
      </c>
      <c r="C12583" s="2">
        <f>HYPERLINK("https://sao.dolgi.msk.ru/account/1404210025/", 1404210025)</f>
        <v>1404210025</v>
      </c>
      <c r="D12583">
        <v>12168.83</v>
      </c>
    </row>
    <row r="12584" spans="1:4" x14ac:dyDescent="0.25">
      <c r="A12584" t="s">
        <v>711</v>
      </c>
      <c r="B12584" t="s">
        <v>118</v>
      </c>
      <c r="C12584" s="2">
        <f>HYPERLINK("https://sao.dolgi.msk.ru/account/1404209163/", 1404209163)</f>
        <v>1404209163</v>
      </c>
      <c r="D12584">
        <v>10229.58</v>
      </c>
    </row>
    <row r="12585" spans="1:4" hidden="1" x14ac:dyDescent="0.25">
      <c r="A12585" t="s">
        <v>711</v>
      </c>
      <c r="B12585" t="s">
        <v>119</v>
      </c>
      <c r="C12585" s="2">
        <f>HYPERLINK("https://sao.dolgi.msk.ru/account/1404207002/", 1404207002)</f>
        <v>1404207002</v>
      </c>
      <c r="D12585">
        <v>-9326.4699999999993</v>
      </c>
    </row>
    <row r="12586" spans="1:4" hidden="1" x14ac:dyDescent="0.25">
      <c r="A12586" t="s">
        <v>711</v>
      </c>
      <c r="B12586" t="s">
        <v>120</v>
      </c>
      <c r="C12586" s="2">
        <f>HYPERLINK("https://sao.dolgi.msk.ru/account/1404207467/", 1404207467)</f>
        <v>1404207467</v>
      </c>
      <c r="D12586">
        <v>0</v>
      </c>
    </row>
    <row r="12587" spans="1:4" hidden="1" x14ac:dyDescent="0.25">
      <c r="A12587" t="s">
        <v>711</v>
      </c>
      <c r="B12587" t="s">
        <v>121</v>
      </c>
      <c r="C12587" s="2">
        <f>HYPERLINK("https://sao.dolgi.msk.ru/account/1404207475/", 1404207475)</f>
        <v>1404207475</v>
      </c>
      <c r="D12587">
        <v>-8396.32</v>
      </c>
    </row>
    <row r="12588" spans="1:4" hidden="1" x14ac:dyDescent="0.25">
      <c r="A12588" t="s">
        <v>711</v>
      </c>
      <c r="B12588" t="s">
        <v>122</v>
      </c>
      <c r="C12588" s="2">
        <f>HYPERLINK("https://sao.dolgi.msk.ru/account/1404207029/", 1404207029)</f>
        <v>1404207029</v>
      </c>
      <c r="D12588">
        <v>0</v>
      </c>
    </row>
    <row r="12589" spans="1:4" hidden="1" x14ac:dyDescent="0.25">
      <c r="A12589" t="s">
        <v>711</v>
      </c>
      <c r="B12589" t="s">
        <v>123</v>
      </c>
      <c r="C12589" s="2">
        <f>HYPERLINK("https://sao.dolgi.msk.ru/account/1404209171/", 1404209171)</f>
        <v>1404209171</v>
      </c>
      <c r="D12589">
        <v>-6699.9</v>
      </c>
    </row>
    <row r="12590" spans="1:4" hidden="1" x14ac:dyDescent="0.25">
      <c r="A12590" t="s">
        <v>711</v>
      </c>
      <c r="B12590" t="s">
        <v>124</v>
      </c>
      <c r="C12590" s="2">
        <f>HYPERLINK("https://sao.dolgi.msk.ru/account/1404208814/", 1404208814)</f>
        <v>1404208814</v>
      </c>
      <c r="D12590">
        <v>-22313.83</v>
      </c>
    </row>
    <row r="12591" spans="1:4" hidden="1" x14ac:dyDescent="0.25">
      <c r="A12591" t="s">
        <v>711</v>
      </c>
      <c r="B12591" t="s">
        <v>125</v>
      </c>
      <c r="C12591" s="2">
        <f>HYPERLINK("https://sao.dolgi.msk.ru/account/1404209657/", 1404209657)</f>
        <v>1404209657</v>
      </c>
      <c r="D12591">
        <v>-9054.7199999999993</v>
      </c>
    </row>
    <row r="12592" spans="1:4" x14ac:dyDescent="0.25">
      <c r="A12592" t="s">
        <v>711</v>
      </c>
      <c r="B12592" t="s">
        <v>126</v>
      </c>
      <c r="C12592" s="2">
        <f>HYPERLINK("https://sao.dolgi.msk.ru/account/1404209665/", 1404209665)</f>
        <v>1404209665</v>
      </c>
      <c r="D12592">
        <v>6402.22</v>
      </c>
    </row>
    <row r="12593" spans="1:4" hidden="1" x14ac:dyDescent="0.25">
      <c r="A12593" t="s">
        <v>711</v>
      </c>
      <c r="B12593" t="s">
        <v>127</v>
      </c>
      <c r="C12593" s="2">
        <f>HYPERLINK("https://sao.dolgi.msk.ru/account/1404209198/", 1404209198)</f>
        <v>1404209198</v>
      </c>
      <c r="D12593">
        <v>0</v>
      </c>
    </row>
    <row r="12594" spans="1:4" x14ac:dyDescent="0.25">
      <c r="A12594" t="s">
        <v>711</v>
      </c>
      <c r="B12594" t="s">
        <v>128</v>
      </c>
      <c r="C12594" s="2">
        <f>HYPERLINK("https://sao.dolgi.msk.ru/account/1404208822/", 1404208822)</f>
        <v>1404208822</v>
      </c>
      <c r="D12594">
        <v>28448.61</v>
      </c>
    </row>
    <row r="12595" spans="1:4" hidden="1" x14ac:dyDescent="0.25">
      <c r="A12595" t="s">
        <v>711</v>
      </c>
      <c r="B12595" t="s">
        <v>129</v>
      </c>
      <c r="C12595" s="2">
        <f>HYPERLINK("https://sao.dolgi.msk.ru/account/1404209462/", 1404209462)</f>
        <v>1404209462</v>
      </c>
      <c r="D12595">
        <v>-634.07000000000005</v>
      </c>
    </row>
    <row r="12596" spans="1:4" x14ac:dyDescent="0.25">
      <c r="A12596" t="s">
        <v>711</v>
      </c>
      <c r="B12596" t="s">
        <v>130</v>
      </c>
      <c r="C12596" s="2">
        <f>HYPERLINK("https://sao.dolgi.msk.ru/account/1404210279/", 1404210279)</f>
        <v>1404210279</v>
      </c>
      <c r="D12596">
        <v>4540.9799999999996</v>
      </c>
    </row>
    <row r="12597" spans="1:4" hidden="1" x14ac:dyDescent="0.25">
      <c r="A12597" t="s">
        <v>711</v>
      </c>
      <c r="B12597" t="s">
        <v>131</v>
      </c>
      <c r="C12597" s="2">
        <f>HYPERLINK("https://sao.dolgi.msk.ru/account/1404208662/", 1404208662)</f>
        <v>1404208662</v>
      </c>
      <c r="D12597">
        <v>-6869.86</v>
      </c>
    </row>
    <row r="12598" spans="1:4" hidden="1" x14ac:dyDescent="0.25">
      <c r="A12598" t="s">
        <v>711</v>
      </c>
      <c r="B12598" t="s">
        <v>132</v>
      </c>
      <c r="C12598" s="2">
        <f>HYPERLINK("https://sao.dolgi.msk.ru/account/1404208232/", 1404208232)</f>
        <v>1404208232</v>
      </c>
      <c r="D12598">
        <v>-8900.31</v>
      </c>
    </row>
    <row r="12599" spans="1:4" hidden="1" x14ac:dyDescent="0.25">
      <c r="A12599" t="s">
        <v>711</v>
      </c>
      <c r="B12599" t="s">
        <v>133</v>
      </c>
      <c r="C12599" s="2">
        <f>HYPERLINK("https://sao.dolgi.msk.ru/account/1404209489/", 1404209489)</f>
        <v>1404209489</v>
      </c>
      <c r="D12599">
        <v>-6182.71</v>
      </c>
    </row>
    <row r="12600" spans="1:4" x14ac:dyDescent="0.25">
      <c r="A12600" t="s">
        <v>711</v>
      </c>
      <c r="B12600" t="s">
        <v>134</v>
      </c>
      <c r="C12600" s="2">
        <f>HYPERLINK("https://sao.dolgi.msk.ru/account/1404209075/", 1404209075)</f>
        <v>1404209075</v>
      </c>
      <c r="D12600">
        <v>14590.67</v>
      </c>
    </row>
    <row r="12601" spans="1:4" hidden="1" x14ac:dyDescent="0.25">
      <c r="A12601" t="s">
        <v>711</v>
      </c>
      <c r="B12601" t="s">
        <v>135</v>
      </c>
      <c r="C12601" s="2">
        <f>HYPERLINK("https://sao.dolgi.msk.ru/account/1404208689/", 1404208689)</f>
        <v>1404208689</v>
      </c>
      <c r="D12601">
        <v>0</v>
      </c>
    </row>
    <row r="12602" spans="1:4" hidden="1" x14ac:dyDescent="0.25">
      <c r="A12602" t="s">
        <v>711</v>
      </c>
      <c r="B12602" t="s">
        <v>136</v>
      </c>
      <c r="C12602" s="2">
        <f>HYPERLINK("https://sao.dolgi.msk.ru/account/1404210287/", 1404210287)</f>
        <v>1404210287</v>
      </c>
      <c r="D12602">
        <v>-17167.7</v>
      </c>
    </row>
    <row r="12603" spans="1:4" hidden="1" x14ac:dyDescent="0.25">
      <c r="A12603" t="s">
        <v>711</v>
      </c>
      <c r="B12603" t="s">
        <v>137</v>
      </c>
      <c r="C12603" s="2">
        <f>HYPERLINK("https://sao.dolgi.msk.ru/account/1404209868/", 1404209868)</f>
        <v>1404209868</v>
      </c>
      <c r="D12603">
        <v>-15377.87</v>
      </c>
    </row>
    <row r="12604" spans="1:4" hidden="1" x14ac:dyDescent="0.25">
      <c r="A12604" t="s">
        <v>711</v>
      </c>
      <c r="B12604" t="s">
        <v>138</v>
      </c>
      <c r="C12604" s="2">
        <f>HYPERLINK("https://sao.dolgi.msk.ru/account/1404209497/", 1404209497)</f>
        <v>1404209497</v>
      </c>
      <c r="D12604">
        <v>-4080.52</v>
      </c>
    </row>
    <row r="12605" spans="1:4" hidden="1" x14ac:dyDescent="0.25">
      <c r="A12605" t="s">
        <v>711</v>
      </c>
      <c r="B12605" t="s">
        <v>139</v>
      </c>
      <c r="C12605" s="2">
        <f>HYPERLINK("https://sao.dolgi.msk.ru/account/1404209876/", 1404209876)</f>
        <v>1404209876</v>
      </c>
      <c r="D12605">
        <v>-10049.870000000001</v>
      </c>
    </row>
    <row r="12606" spans="1:4" hidden="1" x14ac:dyDescent="0.25">
      <c r="A12606" t="s">
        <v>711</v>
      </c>
      <c r="B12606" t="s">
        <v>140</v>
      </c>
      <c r="C12606" s="2">
        <f>HYPERLINK("https://sao.dolgi.msk.ru/account/1404209884/", 1404209884)</f>
        <v>1404209884</v>
      </c>
      <c r="D12606">
        <v>-9397.11</v>
      </c>
    </row>
    <row r="12607" spans="1:4" hidden="1" x14ac:dyDescent="0.25">
      <c r="A12607" t="s">
        <v>711</v>
      </c>
      <c r="B12607" t="s">
        <v>141</v>
      </c>
      <c r="C12607" s="2">
        <f>HYPERLINK("https://sao.dolgi.msk.ru/account/1404208697/", 1404208697)</f>
        <v>1404208697</v>
      </c>
      <c r="D12607">
        <v>-9433.51</v>
      </c>
    </row>
    <row r="12608" spans="1:4" x14ac:dyDescent="0.25">
      <c r="A12608" t="s">
        <v>711</v>
      </c>
      <c r="B12608" t="s">
        <v>142</v>
      </c>
      <c r="C12608" s="2">
        <f>HYPERLINK("https://sao.dolgi.msk.ru/account/1404207766/", 1404207766)</f>
        <v>1404207766</v>
      </c>
      <c r="D12608">
        <v>1404.45</v>
      </c>
    </row>
    <row r="12609" spans="1:4" hidden="1" x14ac:dyDescent="0.25">
      <c r="A12609" t="s">
        <v>711</v>
      </c>
      <c r="B12609" t="s">
        <v>143</v>
      </c>
      <c r="C12609" s="2">
        <f>HYPERLINK("https://sao.dolgi.msk.ru/account/1404209083/", 1404209083)</f>
        <v>1404209083</v>
      </c>
      <c r="D12609">
        <v>-8719.65</v>
      </c>
    </row>
    <row r="12610" spans="1:4" hidden="1" x14ac:dyDescent="0.25">
      <c r="A12610" t="s">
        <v>711</v>
      </c>
      <c r="B12610" t="s">
        <v>144</v>
      </c>
      <c r="C12610" s="2">
        <f>HYPERLINK("https://sao.dolgi.msk.ru/account/1404208267/", 1404208267)</f>
        <v>1404208267</v>
      </c>
      <c r="D12610">
        <v>-6739.4</v>
      </c>
    </row>
    <row r="12611" spans="1:4" hidden="1" x14ac:dyDescent="0.25">
      <c r="A12611" t="s">
        <v>711</v>
      </c>
      <c r="B12611" t="s">
        <v>145</v>
      </c>
      <c r="C12611" s="2">
        <f>HYPERLINK("https://sao.dolgi.msk.ru/account/1404207301/", 1404207301)</f>
        <v>1404207301</v>
      </c>
      <c r="D12611">
        <v>-8864.98</v>
      </c>
    </row>
    <row r="12612" spans="1:4" hidden="1" x14ac:dyDescent="0.25">
      <c r="A12612" t="s">
        <v>711</v>
      </c>
      <c r="B12612" t="s">
        <v>146</v>
      </c>
      <c r="C12612" s="2">
        <f>HYPERLINK("https://sao.dolgi.msk.ru/account/1404209091/", 1404209091)</f>
        <v>1404209091</v>
      </c>
      <c r="D12612">
        <v>-3086.61</v>
      </c>
    </row>
    <row r="12613" spans="1:4" hidden="1" x14ac:dyDescent="0.25">
      <c r="A12613" t="s">
        <v>711</v>
      </c>
      <c r="B12613" t="s">
        <v>146</v>
      </c>
      <c r="C12613" s="2">
        <f>HYPERLINK("https://sao.dolgi.msk.ru/account/1404210199/", 1404210199)</f>
        <v>1404210199</v>
      </c>
      <c r="D12613">
        <v>-4923.5200000000004</v>
      </c>
    </row>
    <row r="12614" spans="1:4" hidden="1" x14ac:dyDescent="0.25">
      <c r="A12614" t="s">
        <v>711</v>
      </c>
      <c r="B12614" t="s">
        <v>147</v>
      </c>
      <c r="C12614" s="2">
        <f>HYPERLINK("https://sao.dolgi.msk.ru/account/1404207774/", 1404207774)</f>
        <v>1404207774</v>
      </c>
      <c r="D12614">
        <v>-11729.01</v>
      </c>
    </row>
    <row r="12615" spans="1:4" hidden="1" x14ac:dyDescent="0.25">
      <c r="A12615" t="s">
        <v>711</v>
      </c>
      <c r="B12615" t="s">
        <v>148</v>
      </c>
      <c r="C12615" s="2">
        <f>HYPERLINK("https://sao.dolgi.msk.ru/account/1404209518/", 1404209518)</f>
        <v>1404209518</v>
      </c>
      <c r="D12615">
        <v>-10927.28</v>
      </c>
    </row>
    <row r="12616" spans="1:4" hidden="1" x14ac:dyDescent="0.25">
      <c r="A12616" t="s">
        <v>711</v>
      </c>
      <c r="B12616" t="s">
        <v>149</v>
      </c>
      <c r="C12616" s="2">
        <f>HYPERLINK("https://sao.dolgi.msk.ru/account/1404207782/", 1404207782)</f>
        <v>1404207782</v>
      </c>
      <c r="D12616">
        <v>-8421.2999999999993</v>
      </c>
    </row>
    <row r="12617" spans="1:4" hidden="1" x14ac:dyDescent="0.25">
      <c r="A12617" t="s">
        <v>711</v>
      </c>
      <c r="B12617" t="s">
        <v>150</v>
      </c>
      <c r="C12617" s="2">
        <f>HYPERLINK("https://sao.dolgi.msk.ru/account/1404209104/", 1404209104)</f>
        <v>1404209104</v>
      </c>
      <c r="D12617">
        <v>-5552.76</v>
      </c>
    </row>
    <row r="12618" spans="1:4" hidden="1" x14ac:dyDescent="0.25">
      <c r="A12618" t="s">
        <v>711</v>
      </c>
      <c r="B12618" t="s">
        <v>151</v>
      </c>
      <c r="C12618" s="2">
        <f>HYPERLINK("https://sao.dolgi.msk.ru/account/1404207045/", 1404207045)</f>
        <v>1404207045</v>
      </c>
      <c r="D12618">
        <v>-10137.92</v>
      </c>
    </row>
    <row r="12619" spans="1:4" hidden="1" x14ac:dyDescent="0.25">
      <c r="A12619" t="s">
        <v>711</v>
      </c>
      <c r="B12619" t="s">
        <v>152</v>
      </c>
      <c r="C12619" s="2">
        <f>HYPERLINK("https://sao.dolgi.msk.ru/account/1404209243/", 1404209243)</f>
        <v>1404209243</v>
      </c>
      <c r="D12619">
        <v>-9382.81</v>
      </c>
    </row>
    <row r="12620" spans="1:4" hidden="1" x14ac:dyDescent="0.25">
      <c r="A12620" t="s">
        <v>711</v>
      </c>
      <c r="B12620" t="s">
        <v>153</v>
      </c>
      <c r="C12620" s="2">
        <f>HYPERLINK("https://sao.dolgi.msk.ru/account/1404207053/", 1404207053)</f>
        <v>1404207053</v>
      </c>
      <c r="D12620">
        <v>-4586.92</v>
      </c>
    </row>
    <row r="12621" spans="1:4" hidden="1" x14ac:dyDescent="0.25">
      <c r="A12621" t="s">
        <v>711</v>
      </c>
      <c r="B12621" t="s">
        <v>154</v>
      </c>
      <c r="C12621" s="2">
        <f>HYPERLINK("https://sao.dolgi.msk.ru/account/1404208865/", 1404208865)</f>
        <v>1404208865</v>
      </c>
      <c r="D12621">
        <v>-7112.45</v>
      </c>
    </row>
    <row r="12622" spans="1:4" hidden="1" x14ac:dyDescent="0.25">
      <c r="A12622" t="s">
        <v>711</v>
      </c>
      <c r="B12622" t="s">
        <v>155</v>
      </c>
      <c r="C12622" s="2">
        <f>HYPERLINK("https://sao.dolgi.msk.ru/account/1404210113/", 1404210113)</f>
        <v>1404210113</v>
      </c>
      <c r="D12622">
        <v>-9480.76</v>
      </c>
    </row>
    <row r="12623" spans="1:4" x14ac:dyDescent="0.25">
      <c r="A12623" t="s">
        <v>711</v>
      </c>
      <c r="B12623" t="s">
        <v>156</v>
      </c>
      <c r="C12623" s="2">
        <f>HYPERLINK("https://sao.dolgi.msk.ru/account/1404210121/", 1404210121)</f>
        <v>1404210121</v>
      </c>
      <c r="D12623">
        <v>17771.259999999998</v>
      </c>
    </row>
    <row r="12624" spans="1:4" hidden="1" x14ac:dyDescent="0.25">
      <c r="A12624" t="s">
        <v>711</v>
      </c>
      <c r="B12624" t="s">
        <v>157</v>
      </c>
      <c r="C12624" s="2">
        <f>HYPERLINK("https://sao.dolgi.msk.ru/account/1404209702/", 1404209702)</f>
        <v>1404209702</v>
      </c>
      <c r="D12624">
        <v>-9805.4699999999993</v>
      </c>
    </row>
    <row r="12625" spans="1:4" hidden="1" x14ac:dyDescent="0.25">
      <c r="A12625" t="s">
        <v>711</v>
      </c>
      <c r="B12625" t="s">
        <v>158</v>
      </c>
      <c r="C12625" s="2">
        <f>HYPERLINK("https://sao.dolgi.msk.ru/account/1404207061/", 1404207061)</f>
        <v>1404207061</v>
      </c>
      <c r="D12625">
        <v>0</v>
      </c>
    </row>
    <row r="12626" spans="1:4" hidden="1" x14ac:dyDescent="0.25">
      <c r="A12626" t="s">
        <v>711</v>
      </c>
      <c r="B12626" t="s">
        <v>159</v>
      </c>
      <c r="C12626" s="2">
        <f>HYPERLINK("https://sao.dolgi.msk.ru/account/1404209729/", 1404209729)</f>
        <v>1404209729</v>
      </c>
      <c r="D12626">
        <v>0</v>
      </c>
    </row>
    <row r="12627" spans="1:4" hidden="1" x14ac:dyDescent="0.25">
      <c r="A12627" t="s">
        <v>711</v>
      </c>
      <c r="B12627" t="s">
        <v>160</v>
      </c>
      <c r="C12627" s="2">
        <f>HYPERLINK("https://sao.dolgi.msk.ru/account/1404208435/", 1404208435)</f>
        <v>1404208435</v>
      </c>
      <c r="D12627">
        <v>-8054.34</v>
      </c>
    </row>
    <row r="12628" spans="1:4" hidden="1" x14ac:dyDescent="0.25">
      <c r="A12628" t="s">
        <v>711</v>
      </c>
      <c r="B12628" t="s">
        <v>161</v>
      </c>
      <c r="C12628" s="2">
        <f>HYPERLINK("https://sao.dolgi.msk.ru/account/1404207539/", 1404207539)</f>
        <v>1404207539</v>
      </c>
      <c r="D12628">
        <v>-5971.62</v>
      </c>
    </row>
    <row r="12629" spans="1:4" hidden="1" x14ac:dyDescent="0.25">
      <c r="A12629" t="s">
        <v>711</v>
      </c>
      <c r="B12629" t="s">
        <v>162</v>
      </c>
      <c r="C12629" s="2">
        <f>HYPERLINK("https://sao.dolgi.msk.ru/account/1404209737/", 1404209737)</f>
        <v>1404209737</v>
      </c>
      <c r="D12629">
        <v>0</v>
      </c>
    </row>
    <row r="12630" spans="1:4" hidden="1" x14ac:dyDescent="0.25">
      <c r="A12630" t="s">
        <v>711</v>
      </c>
      <c r="B12630" t="s">
        <v>163</v>
      </c>
      <c r="C12630" s="2">
        <f>HYPERLINK("https://sao.dolgi.msk.ru/account/1404207088/", 1404207088)</f>
        <v>1404207088</v>
      </c>
      <c r="D12630">
        <v>-9520.75</v>
      </c>
    </row>
    <row r="12631" spans="1:4" hidden="1" x14ac:dyDescent="0.25">
      <c r="A12631" t="s">
        <v>711</v>
      </c>
      <c r="B12631" t="s">
        <v>164</v>
      </c>
      <c r="C12631" s="2">
        <f>HYPERLINK("https://sao.dolgi.msk.ru/account/1404207096/", 1404207096)</f>
        <v>1404207096</v>
      </c>
      <c r="D12631">
        <v>0</v>
      </c>
    </row>
    <row r="12632" spans="1:4" hidden="1" x14ac:dyDescent="0.25">
      <c r="A12632" t="s">
        <v>711</v>
      </c>
      <c r="B12632" t="s">
        <v>165</v>
      </c>
      <c r="C12632" s="2">
        <f>HYPERLINK("https://sao.dolgi.msk.ru/account/1404207803/", 1404207803)</f>
        <v>1404207803</v>
      </c>
      <c r="D12632">
        <v>-8750</v>
      </c>
    </row>
    <row r="12633" spans="1:4" hidden="1" x14ac:dyDescent="0.25">
      <c r="A12633" t="s">
        <v>711</v>
      </c>
      <c r="B12633" t="s">
        <v>166</v>
      </c>
      <c r="C12633" s="2">
        <f>HYPERLINK("https://sao.dolgi.msk.ru/account/1404208099/", 1404208099)</f>
        <v>1404208099</v>
      </c>
      <c r="D12633">
        <v>-6930.14</v>
      </c>
    </row>
    <row r="12634" spans="1:4" hidden="1" x14ac:dyDescent="0.25">
      <c r="A12634" t="s">
        <v>711</v>
      </c>
      <c r="B12634" t="s">
        <v>167</v>
      </c>
      <c r="C12634" s="2">
        <f>HYPERLINK("https://sao.dolgi.msk.ru/account/1404208873/", 1404208873)</f>
        <v>1404208873</v>
      </c>
      <c r="D12634">
        <v>-7251.88</v>
      </c>
    </row>
    <row r="12635" spans="1:4" hidden="1" x14ac:dyDescent="0.25">
      <c r="A12635" t="s">
        <v>711</v>
      </c>
      <c r="B12635" t="s">
        <v>168</v>
      </c>
      <c r="C12635" s="2">
        <f>HYPERLINK("https://sao.dolgi.msk.ru/account/1404208101/", 1404208101)</f>
        <v>1404208101</v>
      </c>
      <c r="D12635">
        <v>-2794.76</v>
      </c>
    </row>
    <row r="12636" spans="1:4" hidden="1" x14ac:dyDescent="0.25">
      <c r="A12636" t="s">
        <v>711</v>
      </c>
      <c r="B12636" t="s">
        <v>169</v>
      </c>
      <c r="C12636" s="2">
        <f>HYPERLINK("https://sao.dolgi.msk.ru/account/1404207547/", 1404207547)</f>
        <v>1404207547</v>
      </c>
      <c r="D12636">
        <v>-4583.8999999999996</v>
      </c>
    </row>
    <row r="12637" spans="1:4" hidden="1" x14ac:dyDescent="0.25">
      <c r="A12637" t="s">
        <v>711</v>
      </c>
      <c r="B12637" t="s">
        <v>170</v>
      </c>
      <c r="C12637" s="2">
        <f>HYPERLINK("https://sao.dolgi.msk.ru/account/1404208443/", 1404208443)</f>
        <v>1404208443</v>
      </c>
      <c r="D12637">
        <v>-6375.36</v>
      </c>
    </row>
    <row r="12638" spans="1:4" hidden="1" x14ac:dyDescent="0.25">
      <c r="A12638" t="s">
        <v>711</v>
      </c>
      <c r="B12638" t="s">
        <v>171</v>
      </c>
      <c r="C12638" s="2">
        <f>HYPERLINK("https://sao.dolgi.msk.ru/account/1404207109/", 1404207109)</f>
        <v>1404207109</v>
      </c>
      <c r="D12638">
        <v>0</v>
      </c>
    </row>
    <row r="12639" spans="1:4" hidden="1" x14ac:dyDescent="0.25">
      <c r="A12639" t="s">
        <v>711</v>
      </c>
      <c r="B12639" t="s">
        <v>172</v>
      </c>
      <c r="C12639" s="2">
        <f>HYPERLINK("https://sao.dolgi.msk.ru/account/1404207555/", 1404207555)</f>
        <v>1404207555</v>
      </c>
      <c r="D12639">
        <v>-11368.25</v>
      </c>
    </row>
    <row r="12640" spans="1:4" hidden="1" x14ac:dyDescent="0.25">
      <c r="A12640" t="s">
        <v>711</v>
      </c>
      <c r="B12640" t="s">
        <v>173</v>
      </c>
      <c r="C12640" s="2">
        <f>HYPERLINK("https://sao.dolgi.msk.ru/account/1404207563/", 1404207563)</f>
        <v>1404207563</v>
      </c>
      <c r="D12640">
        <v>-4496.8900000000003</v>
      </c>
    </row>
    <row r="12641" spans="1:4" hidden="1" x14ac:dyDescent="0.25">
      <c r="A12641" t="s">
        <v>711</v>
      </c>
      <c r="B12641" t="s">
        <v>173</v>
      </c>
      <c r="C12641" s="2">
        <f>HYPERLINK("https://sao.dolgi.msk.ru/account/1404208451/", 1404208451)</f>
        <v>1404208451</v>
      </c>
      <c r="D12641">
        <v>-4107.22</v>
      </c>
    </row>
    <row r="12642" spans="1:4" hidden="1" x14ac:dyDescent="0.25">
      <c r="A12642" t="s">
        <v>711</v>
      </c>
      <c r="B12642" t="s">
        <v>174</v>
      </c>
      <c r="C12642" s="2">
        <f>HYPERLINK("https://sao.dolgi.msk.ru/account/1404207117/", 1404207117)</f>
        <v>1404207117</v>
      </c>
      <c r="D12642">
        <v>-4221.96</v>
      </c>
    </row>
    <row r="12643" spans="1:4" hidden="1" x14ac:dyDescent="0.25">
      <c r="A12643" t="s">
        <v>711</v>
      </c>
      <c r="B12643" t="s">
        <v>175</v>
      </c>
      <c r="C12643" s="2">
        <f>HYPERLINK("https://sao.dolgi.msk.ru/account/1404208881/", 1404208881)</f>
        <v>1404208881</v>
      </c>
      <c r="D12643">
        <v>-9844.7099999999991</v>
      </c>
    </row>
    <row r="12644" spans="1:4" hidden="1" x14ac:dyDescent="0.25">
      <c r="A12644" t="s">
        <v>711</v>
      </c>
      <c r="B12644" t="s">
        <v>176</v>
      </c>
      <c r="C12644" s="2">
        <f>HYPERLINK("https://sao.dolgi.msk.ru/account/1404207571/", 1404207571)</f>
        <v>1404207571</v>
      </c>
      <c r="D12644">
        <v>-8560.26</v>
      </c>
    </row>
    <row r="12645" spans="1:4" hidden="1" x14ac:dyDescent="0.25">
      <c r="A12645" t="s">
        <v>711</v>
      </c>
      <c r="B12645" t="s">
        <v>177</v>
      </c>
      <c r="C12645" s="2">
        <f>HYPERLINK("https://sao.dolgi.msk.ru/account/1404207942/", 1404207942)</f>
        <v>1404207942</v>
      </c>
      <c r="D12645">
        <v>-4910.32</v>
      </c>
    </row>
    <row r="12646" spans="1:4" hidden="1" x14ac:dyDescent="0.25">
      <c r="A12646" t="s">
        <v>711</v>
      </c>
      <c r="B12646" t="s">
        <v>178</v>
      </c>
      <c r="C12646" s="2">
        <f>HYPERLINK("https://sao.dolgi.msk.ru/account/1404206915/", 1404206915)</f>
        <v>1404206915</v>
      </c>
      <c r="D12646">
        <v>0</v>
      </c>
    </row>
    <row r="12647" spans="1:4" hidden="1" x14ac:dyDescent="0.25">
      <c r="A12647" t="s">
        <v>711</v>
      </c>
      <c r="B12647" t="s">
        <v>179</v>
      </c>
      <c r="C12647" s="2">
        <f>HYPERLINK("https://sao.dolgi.msk.ru/account/1404208769/", 1404208769)</f>
        <v>1404208769</v>
      </c>
      <c r="D12647">
        <v>-4847.22</v>
      </c>
    </row>
    <row r="12648" spans="1:4" hidden="1" x14ac:dyDescent="0.25">
      <c r="A12648" t="s">
        <v>711</v>
      </c>
      <c r="B12648" t="s">
        <v>180</v>
      </c>
      <c r="C12648" s="2">
        <f>HYPERLINK("https://sao.dolgi.msk.ru/account/1404209155/", 1404209155)</f>
        <v>1404209155</v>
      </c>
      <c r="D12648">
        <v>-238.19</v>
      </c>
    </row>
    <row r="12649" spans="1:4" hidden="1" x14ac:dyDescent="0.25">
      <c r="A12649" t="s">
        <v>711</v>
      </c>
      <c r="B12649" t="s">
        <v>181</v>
      </c>
      <c r="C12649" s="2">
        <f>HYPERLINK("https://sao.dolgi.msk.ru/account/1404207969/", 1404207969)</f>
        <v>1404207969</v>
      </c>
      <c r="D12649">
        <v>-24870.43</v>
      </c>
    </row>
    <row r="12650" spans="1:4" hidden="1" x14ac:dyDescent="0.25">
      <c r="A12650" t="s">
        <v>711</v>
      </c>
      <c r="B12650" t="s">
        <v>182</v>
      </c>
      <c r="C12650" s="2">
        <f>HYPERLINK("https://sao.dolgi.msk.ru/account/1404207977/", 1404207977)</f>
        <v>1404207977</v>
      </c>
      <c r="D12650">
        <v>-8977.1299999999992</v>
      </c>
    </row>
    <row r="12651" spans="1:4" hidden="1" x14ac:dyDescent="0.25">
      <c r="A12651" t="s">
        <v>711</v>
      </c>
      <c r="B12651" t="s">
        <v>183</v>
      </c>
      <c r="C12651" s="2">
        <f>HYPERLINK("https://sao.dolgi.msk.ru/account/1404208291/", 1404208291)</f>
        <v>1404208291</v>
      </c>
      <c r="D12651">
        <v>-7123.41</v>
      </c>
    </row>
    <row r="12652" spans="1:4" hidden="1" x14ac:dyDescent="0.25">
      <c r="A12652" t="s">
        <v>711</v>
      </c>
      <c r="B12652" t="s">
        <v>184</v>
      </c>
      <c r="C12652" s="2">
        <f>HYPERLINK("https://sao.dolgi.msk.ru/account/1404208777/", 1404208777)</f>
        <v>1404208777</v>
      </c>
      <c r="D12652">
        <v>-7437.16</v>
      </c>
    </row>
    <row r="12653" spans="1:4" x14ac:dyDescent="0.25">
      <c r="A12653" t="s">
        <v>711</v>
      </c>
      <c r="B12653" t="s">
        <v>185</v>
      </c>
      <c r="C12653" s="2">
        <f>HYPERLINK("https://sao.dolgi.msk.ru/account/1404209569/", 1404209569)</f>
        <v>1404209569</v>
      </c>
      <c r="D12653">
        <v>10488.12</v>
      </c>
    </row>
    <row r="12654" spans="1:4" hidden="1" x14ac:dyDescent="0.25">
      <c r="A12654" t="s">
        <v>711</v>
      </c>
      <c r="B12654" t="s">
        <v>186</v>
      </c>
      <c r="C12654" s="2">
        <f>HYPERLINK("https://sao.dolgi.msk.ru/account/1404209999/", 1404209999)</f>
        <v>1404209999</v>
      </c>
      <c r="D12654">
        <v>0</v>
      </c>
    </row>
    <row r="12655" spans="1:4" hidden="1" x14ac:dyDescent="0.25">
      <c r="A12655" t="s">
        <v>711</v>
      </c>
      <c r="B12655" t="s">
        <v>187</v>
      </c>
      <c r="C12655" s="2">
        <f>HYPERLINK("https://sao.dolgi.msk.ru/account/1404209577/", 1404209577)</f>
        <v>1404209577</v>
      </c>
      <c r="D12655">
        <v>-12624.57</v>
      </c>
    </row>
    <row r="12656" spans="1:4" hidden="1" x14ac:dyDescent="0.25">
      <c r="A12656" t="s">
        <v>711</v>
      </c>
      <c r="B12656" t="s">
        <v>188</v>
      </c>
      <c r="C12656" s="2">
        <f>HYPERLINK("https://sao.dolgi.msk.ru/account/1404209585/", 1404209585)</f>
        <v>1404209585</v>
      </c>
      <c r="D12656">
        <v>-9202.15</v>
      </c>
    </row>
    <row r="12657" spans="1:4" hidden="1" x14ac:dyDescent="0.25">
      <c r="A12657" t="s">
        <v>711</v>
      </c>
      <c r="B12657" t="s">
        <v>189</v>
      </c>
      <c r="C12657" s="2">
        <f>HYPERLINK("https://sao.dolgi.msk.ru/account/1404209593/", 1404209593)</f>
        <v>1404209593</v>
      </c>
      <c r="D12657">
        <v>-4269.7</v>
      </c>
    </row>
    <row r="12658" spans="1:4" hidden="1" x14ac:dyDescent="0.25">
      <c r="A12658" t="s">
        <v>711</v>
      </c>
      <c r="B12658" t="s">
        <v>190</v>
      </c>
      <c r="C12658" s="2">
        <f>HYPERLINK("https://sao.dolgi.msk.ru/account/1404206923/", 1404206923)</f>
        <v>1404206923</v>
      </c>
      <c r="D12658">
        <v>-12319.36</v>
      </c>
    </row>
    <row r="12659" spans="1:4" hidden="1" x14ac:dyDescent="0.25">
      <c r="A12659" t="s">
        <v>711</v>
      </c>
      <c r="B12659" t="s">
        <v>191</v>
      </c>
      <c r="C12659" s="2">
        <f>HYPERLINK("https://sao.dolgi.msk.ru/account/1404209606/", 1404209606)</f>
        <v>1404209606</v>
      </c>
      <c r="D12659">
        <v>-9511.7099999999991</v>
      </c>
    </row>
    <row r="12660" spans="1:4" hidden="1" x14ac:dyDescent="0.25">
      <c r="A12660" t="s">
        <v>711</v>
      </c>
      <c r="B12660" t="s">
        <v>192</v>
      </c>
      <c r="C12660" s="2">
        <f>HYPERLINK("https://sao.dolgi.msk.ru/account/1404207985/", 1404207985)</f>
        <v>1404207985</v>
      </c>
      <c r="D12660">
        <v>-6190.04</v>
      </c>
    </row>
    <row r="12661" spans="1:4" hidden="1" x14ac:dyDescent="0.25">
      <c r="A12661" t="s">
        <v>711</v>
      </c>
      <c r="B12661" t="s">
        <v>193</v>
      </c>
      <c r="C12661" s="2">
        <f>HYPERLINK("https://sao.dolgi.msk.ru/account/1404210009/", 1404210009)</f>
        <v>1404210009</v>
      </c>
      <c r="D12661">
        <v>-11726.6</v>
      </c>
    </row>
    <row r="12662" spans="1:4" hidden="1" x14ac:dyDescent="0.25">
      <c r="A12662" t="s">
        <v>711</v>
      </c>
      <c r="B12662" t="s">
        <v>194</v>
      </c>
      <c r="C12662" s="2">
        <f>HYPERLINK("https://sao.dolgi.msk.ru/account/1404208785/", 1404208785)</f>
        <v>1404208785</v>
      </c>
      <c r="D12662">
        <v>0</v>
      </c>
    </row>
    <row r="12663" spans="1:4" x14ac:dyDescent="0.25">
      <c r="A12663" t="s">
        <v>711</v>
      </c>
      <c r="B12663" t="s">
        <v>195</v>
      </c>
      <c r="C12663" s="2">
        <f>HYPERLINK("https://sao.dolgi.msk.ru/account/1404207993/", 1404207993)</f>
        <v>1404207993</v>
      </c>
      <c r="D12663">
        <v>1980.8</v>
      </c>
    </row>
    <row r="12664" spans="1:4" hidden="1" x14ac:dyDescent="0.25">
      <c r="A12664" t="s">
        <v>711</v>
      </c>
      <c r="B12664" t="s">
        <v>196</v>
      </c>
      <c r="C12664" s="2">
        <f>HYPERLINK("https://sao.dolgi.msk.ru/account/1404208793/", 1404208793)</f>
        <v>1404208793</v>
      </c>
      <c r="D12664">
        <v>-11419.67</v>
      </c>
    </row>
    <row r="12665" spans="1:4" hidden="1" x14ac:dyDescent="0.25">
      <c r="A12665" t="s">
        <v>711</v>
      </c>
      <c r="B12665" t="s">
        <v>197</v>
      </c>
      <c r="C12665" s="2">
        <f>HYPERLINK("https://sao.dolgi.msk.ru/account/1404206958/", 1404206958)</f>
        <v>1404206958</v>
      </c>
      <c r="D12665">
        <v>-5969.46</v>
      </c>
    </row>
    <row r="12666" spans="1:4" hidden="1" x14ac:dyDescent="0.25">
      <c r="A12666" t="s">
        <v>711</v>
      </c>
      <c r="B12666" t="s">
        <v>198</v>
      </c>
      <c r="C12666" s="2">
        <f>HYPERLINK("https://sao.dolgi.msk.ru/account/1404207424/", 1404207424)</f>
        <v>1404207424</v>
      </c>
      <c r="D12666">
        <v>-5090.66</v>
      </c>
    </row>
    <row r="12667" spans="1:4" hidden="1" x14ac:dyDescent="0.25">
      <c r="A12667" t="s">
        <v>711</v>
      </c>
      <c r="B12667" t="s">
        <v>199</v>
      </c>
      <c r="C12667" s="2">
        <f>HYPERLINK("https://sao.dolgi.msk.ru/account/1404208005/", 1404208005)</f>
        <v>1404208005</v>
      </c>
      <c r="D12667">
        <v>-10921.39</v>
      </c>
    </row>
    <row r="12668" spans="1:4" hidden="1" x14ac:dyDescent="0.25">
      <c r="A12668" t="s">
        <v>711</v>
      </c>
      <c r="B12668" t="s">
        <v>200</v>
      </c>
      <c r="C12668" s="2">
        <f>HYPERLINK("https://sao.dolgi.msk.ru/account/1404207432/", 1404207432)</f>
        <v>1404207432</v>
      </c>
      <c r="D12668">
        <v>-8977.1299999999992</v>
      </c>
    </row>
    <row r="12669" spans="1:4" hidden="1" x14ac:dyDescent="0.25">
      <c r="A12669" t="s">
        <v>711</v>
      </c>
      <c r="B12669" t="s">
        <v>201</v>
      </c>
      <c r="C12669" s="2">
        <f>HYPERLINK("https://sao.dolgi.msk.ru/account/1404210017/", 1404210017)</f>
        <v>1404210017</v>
      </c>
      <c r="D12669">
        <v>-4542.95</v>
      </c>
    </row>
    <row r="12670" spans="1:4" hidden="1" x14ac:dyDescent="0.25">
      <c r="A12670" t="s">
        <v>711</v>
      </c>
      <c r="B12670" t="s">
        <v>202</v>
      </c>
      <c r="C12670" s="2">
        <f>HYPERLINK("https://sao.dolgi.msk.ru/account/1404209614/", 1404209614)</f>
        <v>1404209614</v>
      </c>
      <c r="D12670">
        <v>-22560.62</v>
      </c>
    </row>
    <row r="12671" spans="1:4" hidden="1" x14ac:dyDescent="0.25">
      <c r="A12671" t="s">
        <v>711</v>
      </c>
      <c r="B12671" t="s">
        <v>203</v>
      </c>
      <c r="C12671" s="2">
        <f>HYPERLINK("https://sao.dolgi.msk.ru/account/1404208013/", 1404208013)</f>
        <v>1404208013</v>
      </c>
      <c r="D12671">
        <v>0</v>
      </c>
    </row>
    <row r="12672" spans="1:4" x14ac:dyDescent="0.25">
      <c r="A12672" t="s">
        <v>711</v>
      </c>
      <c r="B12672" t="s">
        <v>204</v>
      </c>
      <c r="C12672" s="2">
        <f>HYPERLINK("https://sao.dolgi.msk.ru/account/1404208742/", 1404208742)</f>
        <v>1404208742</v>
      </c>
      <c r="D12672">
        <v>18450.849999999999</v>
      </c>
    </row>
    <row r="12673" spans="1:4" hidden="1" x14ac:dyDescent="0.25">
      <c r="A12673" t="s">
        <v>711</v>
      </c>
      <c r="B12673" t="s">
        <v>205</v>
      </c>
      <c r="C12673" s="2">
        <f>HYPERLINK("https://sao.dolgi.msk.ru/account/1404209139/", 1404209139)</f>
        <v>1404209139</v>
      </c>
      <c r="D12673">
        <v>-9069.8700000000008</v>
      </c>
    </row>
    <row r="12674" spans="1:4" hidden="1" x14ac:dyDescent="0.25">
      <c r="A12674" t="s">
        <v>711</v>
      </c>
      <c r="B12674" t="s">
        <v>206</v>
      </c>
      <c r="C12674" s="2">
        <f>HYPERLINK("https://sao.dolgi.msk.ru/account/1404209542/", 1404209542)</f>
        <v>1404209542</v>
      </c>
      <c r="D12674">
        <v>0</v>
      </c>
    </row>
    <row r="12675" spans="1:4" hidden="1" x14ac:dyDescent="0.25">
      <c r="A12675" t="s">
        <v>711</v>
      </c>
      <c r="B12675" t="s">
        <v>207</v>
      </c>
      <c r="C12675" s="2">
        <f>HYPERLINK("https://sao.dolgi.msk.ru/account/1404206894/", 1404206894)</f>
        <v>1404206894</v>
      </c>
      <c r="D12675">
        <v>-4630.17</v>
      </c>
    </row>
    <row r="12676" spans="1:4" x14ac:dyDescent="0.25">
      <c r="A12676" t="s">
        <v>711</v>
      </c>
      <c r="B12676" t="s">
        <v>208</v>
      </c>
      <c r="C12676" s="2">
        <f>HYPERLINK("https://sao.dolgi.msk.ru/account/1404207379/", 1404207379)</f>
        <v>1404207379</v>
      </c>
      <c r="D12676">
        <v>9274.6200000000008</v>
      </c>
    </row>
    <row r="12677" spans="1:4" hidden="1" x14ac:dyDescent="0.25">
      <c r="A12677" t="s">
        <v>711</v>
      </c>
      <c r="B12677" t="s">
        <v>209</v>
      </c>
      <c r="C12677" s="2">
        <f>HYPERLINK("https://sao.dolgi.msk.ru/account/1404207854/", 1404207854)</f>
        <v>1404207854</v>
      </c>
      <c r="D12677">
        <v>-6655.05</v>
      </c>
    </row>
    <row r="12678" spans="1:4" hidden="1" x14ac:dyDescent="0.25">
      <c r="A12678" t="s">
        <v>711</v>
      </c>
      <c r="B12678" t="s">
        <v>210</v>
      </c>
      <c r="C12678" s="2">
        <f>HYPERLINK("https://sao.dolgi.msk.ru/account/1404208283/", 1404208283)</f>
        <v>1404208283</v>
      </c>
      <c r="D12678">
        <v>-8929.6</v>
      </c>
    </row>
    <row r="12679" spans="1:4" hidden="1" x14ac:dyDescent="0.25">
      <c r="A12679" t="s">
        <v>711</v>
      </c>
      <c r="B12679" t="s">
        <v>211</v>
      </c>
      <c r="C12679" s="2">
        <f>HYPERLINK("https://sao.dolgi.msk.ru/account/1404207387/", 1404207387)</f>
        <v>1404207387</v>
      </c>
      <c r="D12679">
        <v>-8889.67</v>
      </c>
    </row>
    <row r="12680" spans="1:4" hidden="1" x14ac:dyDescent="0.25">
      <c r="A12680" t="s">
        <v>711</v>
      </c>
      <c r="B12680" t="s">
        <v>212</v>
      </c>
      <c r="C12680" s="2">
        <f>HYPERLINK("https://sao.dolgi.msk.ru/account/1404207862/", 1404207862)</f>
        <v>1404207862</v>
      </c>
      <c r="D12680">
        <v>0</v>
      </c>
    </row>
    <row r="12681" spans="1:4" hidden="1" x14ac:dyDescent="0.25">
      <c r="A12681" t="s">
        <v>711</v>
      </c>
      <c r="B12681" t="s">
        <v>212</v>
      </c>
      <c r="C12681" s="2">
        <f>HYPERLINK("https://sao.dolgi.msk.ru/account/1404209948/", 1404209948)</f>
        <v>1404209948</v>
      </c>
      <c r="D12681">
        <v>0</v>
      </c>
    </row>
    <row r="12682" spans="1:4" hidden="1" x14ac:dyDescent="0.25">
      <c r="A12682" t="s">
        <v>711</v>
      </c>
      <c r="B12682" t="s">
        <v>213</v>
      </c>
      <c r="C12682" s="2">
        <f>HYPERLINK("https://sao.dolgi.msk.ru/account/1404209956/", 1404209956)</f>
        <v>1404209956</v>
      </c>
      <c r="D12682">
        <v>0</v>
      </c>
    </row>
    <row r="12683" spans="1:4" x14ac:dyDescent="0.25">
      <c r="A12683" t="s">
        <v>711</v>
      </c>
      <c r="B12683" t="s">
        <v>214</v>
      </c>
      <c r="C12683" s="2">
        <f>HYPERLINK("https://sao.dolgi.msk.ru/account/1404207395/", 1404207395)</f>
        <v>1404207395</v>
      </c>
      <c r="D12683">
        <v>30154.51</v>
      </c>
    </row>
    <row r="12684" spans="1:4" hidden="1" x14ac:dyDescent="0.25">
      <c r="A12684" t="s">
        <v>711</v>
      </c>
      <c r="B12684" t="s">
        <v>215</v>
      </c>
      <c r="C12684" s="2">
        <f>HYPERLINK("https://sao.dolgi.msk.ru/account/1404207889/", 1404207889)</f>
        <v>1404207889</v>
      </c>
      <c r="D12684">
        <v>-1</v>
      </c>
    </row>
    <row r="12685" spans="1:4" hidden="1" x14ac:dyDescent="0.25">
      <c r="A12685" t="s">
        <v>711</v>
      </c>
      <c r="B12685" t="s">
        <v>216</v>
      </c>
      <c r="C12685" s="2">
        <f>HYPERLINK("https://sao.dolgi.msk.ru/account/1404207897/", 1404207897)</f>
        <v>1404207897</v>
      </c>
      <c r="D12685">
        <v>-9748.4</v>
      </c>
    </row>
    <row r="12686" spans="1:4" hidden="1" x14ac:dyDescent="0.25">
      <c r="A12686" t="s">
        <v>711</v>
      </c>
      <c r="B12686" t="s">
        <v>217</v>
      </c>
      <c r="C12686" s="2">
        <f>HYPERLINK("https://sao.dolgi.msk.ru/account/1404207918/", 1404207918)</f>
        <v>1404207918</v>
      </c>
      <c r="D12686">
        <v>0</v>
      </c>
    </row>
    <row r="12687" spans="1:4" x14ac:dyDescent="0.25">
      <c r="A12687" t="s">
        <v>711</v>
      </c>
      <c r="B12687" t="s">
        <v>218</v>
      </c>
      <c r="C12687" s="2">
        <f>HYPERLINK("https://sao.dolgi.msk.ru/account/1404207408/", 1404207408)</f>
        <v>1404207408</v>
      </c>
      <c r="D12687">
        <v>10311.84</v>
      </c>
    </row>
    <row r="12688" spans="1:4" x14ac:dyDescent="0.25">
      <c r="A12688" t="s">
        <v>711</v>
      </c>
      <c r="B12688" t="s">
        <v>219</v>
      </c>
      <c r="C12688" s="2">
        <f>HYPERLINK("https://sao.dolgi.msk.ru/account/1404207926/", 1404207926)</f>
        <v>1404207926</v>
      </c>
      <c r="D12688">
        <v>22354.12</v>
      </c>
    </row>
    <row r="12689" spans="1:4" hidden="1" x14ac:dyDescent="0.25">
      <c r="A12689" t="s">
        <v>711</v>
      </c>
      <c r="B12689" t="s">
        <v>220</v>
      </c>
      <c r="C12689" s="2">
        <f>HYPERLINK("https://sao.dolgi.msk.ru/account/1404207934/", 1404207934)</f>
        <v>1404207934</v>
      </c>
      <c r="D12689">
        <v>-10919.32</v>
      </c>
    </row>
    <row r="12690" spans="1:4" hidden="1" x14ac:dyDescent="0.25">
      <c r="A12690" t="s">
        <v>711</v>
      </c>
      <c r="B12690" t="s">
        <v>221</v>
      </c>
      <c r="C12690" s="2">
        <f>HYPERLINK("https://sao.dolgi.msk.ru/account/1404209964/", 1404209964)</f>
        <v>1404209964</v>
      </c>
      <c r="D12690">
        <v>-6692.69</v>
      </c>
    </row>
    <row r="12691" spans="1:4" hidden="1" x14ac:dyDescent="0.25">
      <c r="A12691" t="s">
        <v>711</v>
      </c>
      <c r="B12691" t="s">
        <v>222</v>
      </c>
      <c r="C12691" s="2">
        <f>HYPERLINK("https://sao.dolgi.msk.ru/account/1404208806/", 1404208806)</f>
        <v>1404208806</v>
      </c>
      <c r="D12691">
        <v>-6872.12</v>
      </c>
    </row>
    <row r="12692" spans="1:4" hidden="1" x14ac:dyDescent="0.25">
      <c r="A12692" t="s">
        <v>711</v>
      </c>
      <c r="B12692" t="s">
        <v>223</v>
      </c>
      <c r="C12692" s="2">
        <f>HYPERLINK("https://sao.dolgi.msk.ru/account/1404209622/", 1404209622)</f>
        <v>1404209622</v>
      </c>
      <c r="D12692">
        <v>0</v>
      </c>
    </row>
    <row r="12693" spans="1:4" hidden="1" x14ac:dyDescent="0.25">
      <c r="A12693" t="s">
        <v>711</v>
      </c>
      <c r="B12693" t="s">
        <v>224</v>
      </c>
      <c r="C12693" s="2">
        <f>HYPERLINK("https://sao.dolgi.msk.ru/account/1404207037/", 1404207037)</f>
        <v>1404207037</v>
      </c>
      <c r="D12693">
        <v>0</v>
      </c>
    </row>
    <row r="12694" spans="1:4" hidden="1" x14ac:dyDescent="0.25">
      <c r="A12694" t="s">
        <v>711</v>
      </c>
      <c r="B12694" t="s">
        <v>225</v>
      </c>
      <c r="C12694" s="2">
        <f>HYPERLINK("https://sao.dolgi.msk.ru/account/1404208021/", 1404208021)</f>
        <v>1404208021</v>
      </c>
      <c r="D12694">
        <v>-4017.78</v>
      </c>
    </row>
    <row r="12695" spans="1:4" hidden="1" x14ac:dyDescent="0.25">
      <c r="A12695" t="s">
        <v>711</v>
      </c>
      <c r="B12695" t="s">
        <v>226</v>
      </c>
      <c r="C12695" s="2">
        <f>HYPERLINK("https://sao.dolgi.msk.ru/account/1404208849/", 1404208849)</f>
        <v>1404208849</v>
      </c>
      <c r="D12695">
        <v>0</v>
      </c>
    </row>
    <row r="12696" spans="1:4" hidden="1" x14ac:dyDescent="0.25">
      <c r="A12696" t="s">
        <v>711</v>
      </c>
      <c r="B12696" t="s">
        <v>227</v>
      </c>
      <c r="C12696" s="2">
        <f>HYPERLINK("https://sao.dolgi.msk.ru/account/1404209219/", 1404209219)</f>
        <v>1404209219</v>
      </c>
      <c r="D12696">
        <v>-8734.6</v>
      </c>
    </row>
    <row r="12697" spans="1:4" hidden="1" x14ac:dyDescent="0.25">
      <c r="A12697" t="s">
        <v>711</v>
      </c>
      <c r="B12697" t="s">
        <v>228</v>
      </c>
      <c r="C12697" s="2">
        <f>HYPERLINK("https://sao.dolgi.msk.ru/account/1404210033/", 1404210033)</f>
        <v>1404210033</v>
      </c>
      <c r="D12697">
        <v>-3493</v>
      </c>
    </row>
    <row r="12698" spans="1:4" hidden="1" x14ac:dyDescent="0.25">
      <c r="A12698" t="s">
        <v>711</v>
      </c>
      <c r="B12698" t="s">
        <v>229</v>
      </c>
      <c r="C12698" s="2">
        <f>HYPERLINK("https://sao.dolgi.msk.ru/account/1404210041/", 1404210041)</f>
        <v>1404210041</v>
      </c>
      <c r="D12698">
        <v>-10874.75</v>
      </c>
    </row>
    <row r="12699" spans="1:4" x14ac:dyDescent="0.25">
      <c r="A12699" t="s">
        <v>711</v>
      </c>
      <c r="B12699" t="s">
        <v>230</v>
      </c>
      <c r="C12699" s="2">
        <f>HYPERLINK("https://sao.dolgi.msk.ru/account/1404209673/", 1404209673)</f>
        <v>1404209673</v>
      </c>
      <c r="D12699">
        <v>49000</v>
      </c>
    </row>
    <row r="12700" spans="1:4" hidden="1" x14ac:dyDescent="0.25">
      <c r="A12700" t="s">
        <v>711</v>
      </c>
      <c r="B12700" t="s">
        <v>231</v>
      </c>
      <c r="C12700" s="2">
        <f>HYPERLINK("https://sao.dolgi.msk.ru/account/1404210068/", 1404210068)</f>
        <v>1404210068</v>
      </c>
      <c r="D12700">
        <v>-3698.54</v>
      </c>
    </row>
    <row r="12701" spans="1:4" x14ac:dyDescent="0.25">
      <c r="A12701" t="s">
        <v>711</v>
      </c>
      <c r="B12701" t="s">
        <v>232</v>
      </c>
      <c r="C12701" s="2">
        <f>HYPERLINK("https://sao.dolgi.msk.ru/account/1404208048/", 1404208048)</f>
        <v>1404208048</v>
      </c>
      <c r="D12701">
        <v>4738.6899999999996</v>
      </c>
    </row>
    <row r="12702" spans="1:4" hidden="1" x14ac:dyDescent="0.25">
      <c r="A12702" t="s">
        <v>711</v>
      </c>
      <c r="B12702" t="s">
        <v>233</v>
      </c>
      <c r="C12702" s="2">
        <f>HYPERLINK("https://sao.dolgi.msk.ru/account/1404209227/", 1404209227)</f>
        <v>1404209227</v>
      </c>
      <c r="D12702">
        <v>-9010.35</v>
      </c>
    </row>
    <row r="12703" spans="1:4" hidden="1" x14ac:dyDescent="0.25">
      <c r="A12703" t="s">
        <v>711</v>
      </c>
      <c r="B12703" t="s">
        <v>234</v>
      </c>
      <c r="C12703" s="2">
        <f>HYPERLINK("https://sao.dolgi.msk.ru/account/1404208857/", 1404208857)</f>
        <v>1404208857</v>
      </c>
      <c r="D12703">
        <v>-7801.49</v>
      </c>
    </row>
    <row r="12704" spans="1:4" hidden="1" x14ac:dyDescent="0.25">
      <c r="A12704" t="s">
        <v>711</v>
      </c>
      <c r="B12704" t="s">
        <v>235</v>
      </c>
      <c r="C12704" s="2">
        <f>HYPERLINK("https://sao.dolgi.msk.ru/account/1404208056/", 1404208056)</f>
        <v>1404208056</v>
      </c>
      <c r="D12704">
        <v>-12618.49</v>
      </c>
    </row>
    <row r="12705" spans="1:4" hidden="1" x14ac:dyDescent="0.25">
      <c r="A12705" t="s">
        <v>711</v>
      </c>
      <c r="B12705" t="s">
        <v>239</v>
      </c>
      <c r="C12705" s="2">
        <f>HYPERLINK("https://sao.dolgi.msk.ru/account/1404210076/", 1404210076)</f>
        <v>1404210076</v>
      </c>
      <c r="D12705">
        <v>-8924.81</v>
      </c>
    </row>
    <row r="12706" spans="1:4" x14ac:dyDescent="0.25">
      <c r="A12706" t="s">
        <v>711</v>
      </c>
      <c r="B12706" t="s">
        <v>240</v>
      </c>
      <c r="C12706" s="2">
        <f>HYPERLINK("https://sao.dolgi.msk.ru/account/1404208371/", 1404208371)</f>
        <v>1404208371</v>
      </c>
      <c r="D12706">
        <v>7056.78</v>
      </c>
    </row>
    <row r="12707" spans="1:4" hidden="1" x14ac:dyDescent="0.25">
      <c r="A12707" t="s">
        <v>711</v>
      </c>
      <c r="B12707" t="s">
        <v>241</v>
      </c>
      <c r="C12707" s="2">
        <f>HYPERLINK("https://sao.dolgi.msk.ru/account/1404210084/", 1404210084)</f>
        <v>1404210084</v>
      </c>
      <c r="D12707">
        <v>-21568.6</v>
      </c>
    </row>
    <row r="12708" spans="1:4" hidden="1" x14ac:dyDescent="0.25">
      <c r="A12708" t="s">
        <v>711</v>
      </c>
      <c r="B12708" t="s">
        <v>242</v>
      </c>
      <c r="C12708" s="2">
        <f>HYPERLINK("https://sao.dolgi.msk.ru/account/1404209681/", 1404209681)</f>
        <v>1404209681</v>
      </c>
      <c r="D12708">
        <v>-8261.9</v>
      </c>
    </row>
    <row r="12709" spans="1:4" hidden="1" x14ac:dyDescent="0.25">
      <c r="A12709" t="s">
        <v>711</v>
      </c>
      <c r="B12709" t="s">
        <v>243</v>
      </c>
      <c r="C12709" s="2">
        <f>HYPERLINK("https://sao.dolgi.msk.ru/account/1404210092/", 1404210092)</f>
        <v>1404210092</v>
      </c>
      <c r="D12709">
        <v>-6887.84</v>
      </c>
    </row>
    <row r="12710" spans="1:4" x14ac:dyDescent="0.25">
      <c r="A12710" t="s">
        <v>711</v>
      </c>
      <c r="B12710" t="s">
        <v>244</v>
      </c>
      <c r="C12710" s="2">
        <f>HYPERLINK("https://sao.dolgi.msk.ru/account/1404208398/", 1404208398)</f>
        <v>1404208398</v>
      </c>
      <c r="D12710">
        <v>10558.63</v>
      </c>
    </row>
    <row r="12711" spans="1:4" hidden="1" x14ac:dyDescent="0.25">
      <c r="A12711" t="s">
        <v>711</v>
      </c>
      <c r="B12711" t="s">
        <v>245</v>
      </c>
      <c r="C12711" s="2">
        <f>HYPERLINK("https://sao.dolgi.msk.ru/account/1404207483/", 1404207483)</f>
        <v>1404207483</v>
      </c>
      <c r="D12711">
        <v>-12388.71</v>
      </c>
    </row>
    <row r="12712" spans="1:4" hidden="1" x14ac:dyDescent="0.25">
      <c r="A12712" t="s">
        <v>711</v>
      </c>
      <c r="B12712" t="s">
        <v>246</v>
      </c>
      <c r="C12712" s="2">
        <f>HYPERLINK("https://sao.dolgi.msk.ru/account/1404209235/", 1404209235)</f>
        <v>1404209235</v>
      </c>
      <c r="D12712">
        <v>0</v>
      </c>
    </row>
    <row r="12713" spans="1:4" x14ac:dyDescent="0.25">
      <c r="A12713" t="s">
        <v>711</v>
      </c>
      <c r="B12713" t="s">
        <v>247</v>
      </c>
      <c r="C12713" s="2">
        <f>HYPERLINK("https://sao.dolgi.msk.ru/account/1404208064/", 1404208064)</f>
        <v>1404208064</v>
      </c>
      <c r="D12713">
        <v>12302.83</v>
      </c>
    </row>
    <row r="12714" spans="1:4" x14ac:dyDescent="0.25">
      <c r="A12714" t="s">
        <v>711</v>
      </c>
      <c r="B12714" t="s">
        <v>248</v>
      </c>
      <c r="C12714" s="2">
        <f>HYPERLINK("https://sao.dolgi.msk.ru/account/1404210105/", 1404210105)</f>
        <v>1404210105</v>
      </c>
      <c r="D12714">
        <v>45862.87</v>
      </c>
    </row>
    <row r="12715" spans="1:4" hidden="1" x14ac:dyDescent="0.25">
      <c r="A12715" t="s">
        <v>711</v>
      </c>
      <c r="B12715" t="s">
        <v>249</v>
      </c>
      <c r="C12715" s="2">
        <f>HYPERLINK("https://sao.dolgi.msk.ru/account/1404207491/", 1404207491)</f>
        <v>1404207491</v>
      </c>
      <c r="D12715">
        <v>0</v>
      </c>
    </row>
    <row r="12716" spans="1:4" hidden="1" x14ac:dyDescent="0.25">
      <c r="A12716" t="s">
        <v>711</v>
      </c>
      <c r="B12716" t="s">
        <v>250</v>
      </c>
      <c r="C12716" s="2">
        <f>HYPERLINK("https://sao.dolgi.msk.ru/account/1404208427/", 1404208427)</f>
        <v>1404208427</v>
      </c>
      <c r="D12716">
        <v>0</v>
      </c>
    </row>
    <row r="12717" spans="1:4" x14ac:dyDescent="0.25">
      <c r="A12717" t="s">
        <v>711</v>
      </c>
      <c r="B12717" t="s">
        <v>251</v>
      </c>
      <c r="C12717" s="2">
        <f>HYPERLINK("https://sao.dolgi.msk.ru/account/1404207504/", 1404207504)</f>
        <v>1404207504</v>
      </c>
      <c r="D12717">
        <v>11059.39</v>
      </c>
    </row>
    <row r="12718" spans="1:4" hidden="1" x14ac:dyDescent="0.25">
      <c r="A12718" t="s">
        <v>711</v>
      </c>
      <c r="B12718" t="s">
        <v>252</v>
      </c>
      <c r="C12718" s="2">
        <f>HYPERLINK("https://sao.dolgi.msk.ru/account/1404207512/", 1404207512)</f>
        <v>1404207512</v>
      </c>
      <c r="D12718">
        <v>-3212.19</v>
      </c>
    </row>
    <row r="12719" spans="1:4" hidden="1" x14ac:dyDescent="0.25">
      <c r="A12719" t="s">
        <v>711</v>
      </c>
      <c r="B12719" t="s">
        <v>253</v>
      </c>
      <c r="C12719" s="2">
        <f>HYPERLINK("https://sao.dolgi.msk.ru/account/1404208152/", 1404208152)</f>
        <v>1404208152</v>
      </c>
      <c r="D12719">
        <v>0</v>
      </c>
    </row>
    <row r="12720" spans="1:4" x14ac:dyDescent="0.25">
      <c r="A12720" t="s">
        <v>711</v>
      </c>
      <c r="B12720" t="s">
        <v>254</v>
      </c>
      <c r="C12720" s="2">
        <f>HYPERLINK("https://sao.dolgi.msk.ru/account/1404208945/", 1404208945)</f>
        <v>1404208945</v>
      </c>
      <c r="D12720">
        <v>3633.35</v>
      </c>
    </row>
    <row r="12721" spans="1:4" hidden="1" x14ac:dyDescent="0.25">
      <c r="A12721" t="s">
        <v>711</v>
      </c>
      <c r="B12721" t="s">
        <v>255</v>
      </c>
      <c r="C12721" s="2">
        <f>HYPERLINK("https://sao.dolgi.msk.ru/account/1404208515/", 1404208515)</f>
        <v>1404208515</v>
      </c>
      <c r="D12721">
        <v>-8085.15</v>
      </c>
    </row>
    <row r="12722" spans="1:4" x14ac:dyDescent="0.25">
      <c r="A12722" t="s">
        <v>711</v>
      </c>
      <c r="B12722" t="s">
        <v>256</v>
      </c>
      <c r="C12722" s="2">
        <f>HYPERLINK("https://sao.dolgi.msk.ru/account/1404209761/", 1404209761)</f>
        <v>1404209761</v>
      </c>
      <c r="D12722">
        <v>49053.78</v>
      </c>
    </row>
    <row r="12723" spans="1:4" hidden="1" x14ac:dyDescent="0.25">
      <c r="A12723" t="s">
        <v>711</v>
      </c>
      <c r="B12723" t="s">
        <v>257</v>
      </c>
      <c r="C12723" s="2">
        <f>HYPERLINK("https://sao.dolgi.msk.ru/account/1404207141/", 1404207141)</f>
        <v>1404207141</v>
      </c>
      <c r="D12723">
        <v>-10277.11</v>
      </c>
    </row>
    <row r="12724" spans="1:4" hidden="1" x14ac:dyDescent="0.25">
      <c r="A12724" t="s">
        <v>711</v>
      </c>
      <c r="B12724" t="s">
        <v>258</v>
      </c>
      <c r="C12724" s="2">
        <f>HYPERLINK("https://sao.dolgi.msk.ru/account/1404207168/", 1404207168)</f>
        <v>1404207168</v>
      </c>
      <c r="D12724">
        <v>-10041.52</v>
      </c>
    </row>
    <row r="12725" spans="1:4" hidden="1" x14ac:dyDescent="0.25">
      <c r="A12725" t="s">
        <v>711</v>
      </c>
      <c r="B12725" t="s">
        <v>259</v>
      </c>
      <c r="C12725" s="2">
        <f>HYPERLINK("https://sao.dolgi.msk.ru/account/1404208953/", 1404208953)</f>
        <v>1404208953</v>
      </c>
      <c r="D12725">
        <v>0</v>
      </c>
    </row>
    <row r="12726" spans="1:4" hidden="1" x14ac:dyDescent="0.25">
      <c r="A12726" t="s">
        <v>711</v>
      </c>
      <c r="B12726" t="s">
        <v>260</v>
      </c>
      <c r="C12726" s="2">
        <f>HYPERLINK("https://sao.dolgi.msk.ru/account/1404209788/", 1404209788)</f>
        <v>1404209788</v>
      </c>
      <c r="D12726">
        <v>0</v>
      </c>
    </row>
    <row r="12727" spans="1:4" hidden="1" x14ac:dyDescent="0.25">
      <c r="A12727" t="s">
        <v>711</v>
      </c>
      <c r="B12727" t="s">
        <v>261</v>
      </c>
      <c r="C12727" s="2">
        <f>HYPERLINK("https://sao.dolgi.msk.ru/account/1404210172/", 1404210172)</f>
        <v>1404210172</v>
      </c>
      <c r="D12727">
        <v>0</v>
      </c>
    </row>
    <row r="12728" spans="1:4" hidden="1" x14ac:dyDescent="0.25">
      <c r="A12728" t="s">
        <v>711</v>
      </c>
      <c r="B12728" t="s">
        <v>262</v>
      </c>
      <c r="C12728" s="2">
        <f>HYPERLINK("https://sao.dolgi.msk.ru/account/1404209366/", 1404209366)</f>
        <v>1404209366</v>
      </c>
      <c r="D12728">
        <v>-11314.94</v>
      </c>
    </row>
    <row r="12729" spans="1:4" hidden="1" x14ac:dyDescent="0.25">
      <c r="A12729" t="s">
        <v>711</v>
      </c>
      <c r="B12729" t="s">
        <v>263</v>
      </c>
      <c r="C12729" s="2">
        <f>HYPERLINK("https://sao.dolgi.msk.ru/account/1404208523/", 1404208523)</f>
        <v>1404208523</v>
      </c>
      <c r="D12729">
        <v>0</v>
      </c>
    </row>
    <row r="12730" spans="1:4" hidden="1" x14ac:dyDescent="0.25">
      <c r="A12730" t="s">
        <v>711</v>
      </c>
      <c r="B12730" t="s">
        <v>264</v>
      </c>
      <c r="C12730" s="2">
        <f>HYPERLINK("https://sao.dolgi.msk.ru/account/1404207176/", 1404207176)</f>
        <v>1404207176</v>
      </c>
      <c r="D12730">
        <v>-6626.26</v>
      </c>
    </row>
    <row r="12731" spans="1:4" hidden="1" x14ac:dyDescent="0.25">
      <c r="A12731" t="s">
        <v>711</v>
      </c>
      <c r="B12731" t="s">
        <v>265</v>
      </c>
      <c r="C12731" s="2">
        <f>HYPERLINK("https://sao.dolgi.msk.ru/account/1404208179/", 1404208179)</f>
        <v>1404208179</v>
      </c>
      <c r="D12731">
        <v>0</v>
      </c>
    </row>
    <row r="12732" spans="1:4" hidden="1" x14ac:dyDescent="0.25">
      <c r="A12732" t="s">
        <v>711</v>
      </c>
      <c r="B12732" t="s">
        <v>266</v>
      </c>
      <c r="C12732" s="2">
        <f>HYPERLINK("https://sao.dolgi.msk.ru/account/1404208531/", 1404208531)</f>
        <v>1404208531</v>
      </c>
      <c r="D12732">
        <v>0</v>
      </c>
    </row>
    <row r="12733" spans="1:4" hidden="1" x14ac:dyDescent="0.25">
      <c r="A12733" t="s">
        <v>711</v>
      </c>
      <c r="B12733" t="s">
        <v>267</v>
      </c>
      <c r="C12733" s="2">
        <f>HYPERLINK("https://sao.dolgi.msk.ru/account/1404209374/", 1404209374)</f>
        <v>1404209374</v>
      </c>
      <c r="D12733">
        <v>-4212.68</v>
      </c>
    </row>
    <row r="12734" spans="1:4" hidden="1" x14ac:dyDescent="0.25">
      <c r="A12734" t="s">
        <v>711</v>
      </c>
      <c r="B12734" t="s">
        <v>268</v>
      </c>
      <c r="C12734" s="2">
        <f>HYPERLINK("https://sao.dolgi.msk.ru/account/1404208558/", 1404208558)</f>
        <v>1404208558</v>
      </c>
      <c r="D12734">
        <v>-13332.3</v>
      </c>
    </row>
    <row r="12735" spans="1:4" hidden="1" x14ac:dyDescent="0.25">
      <c r="A12735" t="s">
        <v>711</v>
      </c>
      <c r="B12735" t="s">
        <v>269</v>
      </c>
      <c r="C12735" s="2">
        <f>HYPERLINK("https://sao.dolgi.msk.ru/account/1404208187/", 1404208187)</f>
        <v>1404208187</v>
      </c>
      <c r="D12735">
        <v>0</v>
      </c>
    </row>
    <row r="12736" spans="1:4" hidden="1" x14ac:dyDescent="0.25">
      <c r="A12736" t="s">
        <v>711</v>
      </c>
      <c r="B12736" t="s">
        <v>270</v>
      </c>
      <c r="C12736" s="2">
        <f>HYPERLINK("https://sao.dolgi.msk.ru/account/1404208961/", 1404208961)</f>
        <v>1404208961</v>
      </c>
      <c r="D12736">
        <v>0</v>
      </c>
    </row>
    <row r="12737" spans="1:4" hidden="1" x14ac:dyDescent="0.25">
      <c r="A12737" t="s">
        <v>711</v>
      </c>
      <c r="B12737" t="s">
        <v>271</v>
      </c>
      <c r="C12737" s="2">
        <f>HYPERLINK("https://sao.dolgi.msk.ru/account/1404208988/", 1404208988)</f>
        <v>1404208988</v>
      </c>
      <c r="D12737">
        <v>0</v>
      </c>
    </row>
    <row r="12738" spans="1:4" hidden="1" x14ac:dyDescent="0.25">
      <c r="A12738" t="s">
        <v>711</v>
      </c>
      <c r="B12738" t="s">
        <v>272</v>
      </c>
      <c r="C12738" s="2">
        <f>HYPERLINK("https://sao.dolgi.msk.ru/account/1404208566/", 1404208566)</f>
        <v>1404208566</v>
      </c>
      <c r="D12738">
        <v>-6772.71</v>
      </c>
    </row>
    <row r="12739" spans="1:4" hidden="1" x14ac:dyDescent="0.25">
      <c r="A12739" t="s">
        <v>711</v>
      </c>
      <c r="B12739" t="s">
        <v>273</v>
      </c>
      <c r="C12739" s="2">
        <f>HYPERLINK("https://sao.dolgi.msk.ru/account/1404209796/", 1404209796)</f>
        <v>1404209796</v>
      </c>
      <c r="D12739">
        <v>-4146.96</v>
      </c>
    </row>
    <row r="12740" spans="1:4" hidden="1" x14ac:dyDescent="0.25">
      <c r="A12740" t="s">
        <v>711</v>
      </c>
      <c r="B12740" t="s">
        <v>274</v>
      </c>
      <c r="C12740" s="2">
        <f>HYPERLINK("https://sao.dolgi.msk.ru/account/1404209411/", 1404209411)</f>
        <v>1404209411</v>
      </c>
      <c r="D12740">
        <v>-12572.51</v>
      </c>
    </row>
    <row r="12741" spans="1:4" hidden="1" x14ac:dyDescent="0.25">
      <c r="A12741" t="s">
        <v>711</v>
      </c>
      <c r="B12741" t="s">
        <v>275</v>
      </c>
      <c r="C12741" s="2">
        <f>HYPERLINK("https://sao.dolgi.msk.ru/account/1404208611/", 1404208611)</f>
        <v>1404208611</v>
      </c>
      <c r="D12741">
        <v>-5563.26</v>
      </c>
    </row>
    <row r="12742" spans="1:4" x14ac:dyDescent="0.25">
      <c r="A12742" t="s">
        <v>711</v>
      </c>
      <c r="B12742" t="s">
        <v>276</v>
      </c>
      <c r="C12742" s="2">
        <f>HYPERLINK("https://sao.dolgi.msk.ru/account/1404208195/", 1404208195)</f>
        <v>1404208195</v>
      </c>
      <c r="D12742">
        <v>10101.24</v>
      </c>
    </row>
    <row r="12743" spans="1:4" hidden="1" x14ac:dyDescent="0.25">
      <c r="A12743" t="s">
        <v>711</v>
      </c>
      <c r="B12743" t="s">
        <v>277</v>
      </c>
      <c r="C12743" s="2">
        <f>HYPERLINK("https://sao.dolgi.msk.ru/account/1404209016/", 1404209016)</f>
        <v>1404209016</v>
      </c>
      <c r="D12743">
        <v>0</v>
      </c>
    </row>
    <row r="12744" spans="1:4" hidden="1" x14ac:dyDescent="0.25">
      <c r="A12744" t="s">
        <v>711</v>
      </c>
      <c r="B12744" t="s">
        <v>278</v>
      </c>
      <c r="C12744" s="2">
        <f>HYPERLINK("https://sao.dolgi.msk.ru/account/1404210236/", 1404210236)</f>
        <v>1404210236</v>
      </c>
      <c r="D12744">
        <v>-5534.37</v>
      </c>
    </row>
    <row r="12745" spans="1:4" hidden="1" x14ac:dyDescent="0.25">
      <c r="A12745" t="s">
        <v>711</v>
      </c>
      <c r="B12745" t="s">
        <v>279</v>
      </c>
      <c r="C12745" s="2">
        <f>HYPERLINK("https://sao.dolgi.msk.ru/account/1404207256/", 1404207256)</f>
        <v>1404207256</v>
      </c>
      <c r="D12745">
        <v>-4775.75</v>
      </c>
    </row>
    <row r="12746" spans="1:4" hidden="1" x14ac:dyDescent="0.25">
      <c r="A12746" t="s">
        <v>711</v>
      </c>
      <c r="B12746" t="s">
        <v>280</v>
      </c>
      <c r="C12746" s="2">
        <f>HYPERLINK("https://sao.dolgi.msk.ru/account/1404209438/", 1404209438)</f>
        <v>1404209438</v>
      </c>
      <c r="D12746">
        <v>-11731.47</v>
      </c>
    </row>
    <row r="12747" spans="1:4" hidden="1" x14ac:dyDescent="0.25">
      <c r="A12747" t="s">
        <v>711</v>
      </c>
      <c r="B12747" t="s">
        <v>281</v>
      </c>
      <c r="C12747" s="2">
        <f>HYPERLINK("https://sao.dolgi.msk.ru/account/1404207694/", 1404207694)</f>
        <v>1404207694</v>
      </c>
      <c r="D12747">
        <v>0</v>
      </c>
    </row>
    <row r="12748" spans="1:4" hidden="1" x14ac:dyDescent="0.25">
      <c r="A12748" t="s">
        <v>711</v>
      </c>
      <c r="B12748" t="s">
        <v>282</v>
      </c>
      <c r="C12748" s="2">
        <f>HYPERLINK("https://sao.dolgi.msk.ru/account/1404207707/", 1404207707)</f>
        <v>1404207707</v>
      </c>
      <c r="D12748">
        <v>-7801.22</v>
      </c>
    </row>
    <row r="12749" spans="1:4" hidden="1" x14ac:dyDescent="0.25">
      <c r="A12749" t="s">
        <v>711</v>
      </c>
      <c r="B12749" t="s">
        <v>283</v>
      </c>
      <c r="C12749" s="2">
        <f>HYPERLINK("https://sao.dolgi.msk.ru/account/1404209024/", 1404209024)</f>
        <v>1404209024</v>
      </c>
      <c r="D12749">
        <v>-12730.12</v>
      </c>
    </row>
    <row r="12750" spans="1:4" hidden="1" x14ac:dyDescent="0.25">
      <c r="A12750" t="s">
        <v>711</v>
      </c>
      <c r="B12750" t="s">
        <v>284</v>
      </c>
      <c r="C12750" s="2">
        <f>HYPERLINK("https://sao.dolgi.msk.ru/account/1404209032/", 1404209032)</f>
        <v>1404209032</v>
      </c>
      <c r="D12750">
        <v>-8168.34</v>
      </c>
    </row>
    <row r="12751" spans="1:4" x14ac:dyDescent="0.25">
      <c r="A12751" t="s">
        <v>711</v>
      </c>
      <c r="B12751" t="s">
        <v>285</v>
      </c>
      <c r="C12751" s="2">
        <f>HYPERLINK("https://sao.dolgi.msk.ru/account/1404207264/", 1404207264)</f>
        <v>1404207264</v>
      </c>
      <c r="D12751">
        <v>15869.98</v>
      </c>
    </row>
    <row r="12752" spans="1:4" hidden="1" x14ac:dyDescent="0.25">
      <c r="A12752" t="s">
        <v>711</v>
      </c>
      <c r="B12752" t="s">
        <v>286</v>
      </c>
      <c r="C12752" s="2">
        <f>HYPERLINK("https://sao.dolgi.msk.ru/account/1404208638/", 1404208638)</f>
        <v>1404208638</v>
      </c>
      <c r="D12752">
        <v>0</v>
      </c>
    </row>
    <row r="12753" spans="1:4" x14ac:dyDescent="0.25">
      <c r="A12753" t="s">
        <v>712</v>
      </c>
      <c r="B12753" t="s">
        <v>7</v>
      </c>
      <c r="C12753" s="2">
        <f>HYPERLINK("https://sao.dolgi.msk.ru/account/1404132338/", 1404132338)</f>
        <v>1404132338</v>
      </c>
      <c r="D12753">
        <v>11482.68</v>
      </c>
    </row>
    <row r="12754" spans="1:4" hidden="1" x14ac:dyDescent="0.25">
      <c r="A12754" t="s">
        <v>712</v>
      </c>
      <c r="B12754" t="s">
        <v>8</v>
      </c>
      <c r="C12754" s="2">
        <f>HYPERLINK("https://sao.dolgi.msk.ru/account/1404132071/", 1404132071)</f>
        <v>1404132071</v>
      </c>
      <c r="D12754">
        <v>-1044.4100000000001</v>
      </c>
    </row>
    <row r="12755" spans="1:4" x14ac:dyDescent="0.25">
      <c r="A12755" t="s">
        <v>712</v>
      </c>
      <c r="B12755" t="s">
        <v>9</v>
      </c>
      <c r="C12755" s="2">
        <f>HYPERLINK("https://sao.dolgi.msk.ru/account/1404132522/", 1404132522)</f>
        <v>1404132522</v>
      </c>
      <c r="D12755">
        <v>154.05000000000001</v>
      </c>
    </row>
    <row r="12756" spans="1:4" hidden="1" x14ac:dyDescent="0.25">
      <c r="A12756" t="s">
        <v>712</v>
      </c>
      <c r="B12756" t="s">
        <v>10</v>
      </c>
      <c r="C12756" s="2">
        <f>HYPERLINK("https://sao.dolgi.msk.ru/account/1404133242/", 1404133242)</f>
        <v>1404133242</v>
      </c>
      <c r="D12756">
        <v>-5343.19</v>
      </c>
    </row>
    <row r="12757" spans="1:4" hidden="1" x14ac:dyDescent="0.25">
      <c r="A12757" t="s">
        <v>712</v>
      </c>
      <c r="B12757" t="s">
        <v>11</v>
      </c>
      <c r="C12757" s="2">
        <f>HYPERLINK("https://sao.dolgi.msk.ru/account/1404133007/", 1404133007)</f>
        <v>1404133007</v>
      </c>
      <c r="D12757">
        <v>-6422.83</v>
      </c>
    </row>
    <row r="12758" spans="1:4" hidden="1" x14ac:dyDescent="0.25">
      <c r="A12758" t="s">
        <v>712</v>
      </c>
      <c r="B12758" t="s">
        <v>12</v>
      </c>
      <c r="C12758" s="2">
        <f>HYPERLINK("https://sao.dolgi.msk.ru/account/1404132135/", 1404132135)</f>
        <v>1404132135</v>
      </c>
      <c r="D12758">
        <v>-5954.43</v>
      </c>
    </row>
    <row r="12759" spans="1:4" hidden="1" x14ac:dyDescent="0.25">
      <c r="A12759" t="s">
        <v>712</v>
      </c>
      <c r="B12759" t="s">
        <v>13</v>
      </c>
      <c r="C12759" s="2">
        <f>HYPERLINK("https://sao.dolgi.msk.ru/account/1404133314/", 1404133314)</f>
        <v>1404133314</v>
      </c>
      <c r="D12759">
        <v>-6935.04</v>
      </c>
    </row>
    <row r="12760" spans="1:4" x14ac:dyDescent="0.25">
      <c r="A12760" t="s">
        <v>712</v>
      </c>
      <c r="B12760" t="s">
        <v>14</v>
      </c>
      <c r="C12760" s="2">
        <f>HYPERLINK("https://sao.dolgi.msk.ru/account/1404132426/", 1404132426)</f>
        <v>1404132426</v>
      </c>
      <c r="D12760">
        <v>9317.2800000000007</v>
      </c>
    </row>
    <row r="12761" spans="1:4" hidden="1" x14ac:dyDescent="0.25">
      <c r="A12761" t="s">
        <v>712</v>
      </c>
      <c r="B12761" t="s">
        <v>15</v>
      </c>
      <c r="C12761" s="2">
        <f>HYPERLINK("https://sao.dolgi.msk.ru/account/1404132442/", 1404132442)</f>
        <v>1404132442</v>
      </c>
      <c r="D12761">
        <v>-256.44</v>
      </c>
    </row>
    <row r="12762" spans="1:4" hidden="1" x14ac:dyDescent="0.25">
      <c r="A12762" t="s">
        <v>712</v>
      </c>
      <c r="B12762" t="s">
        <v>16</v>
      </c>
      <c r="C12762" s="2">
        <f>HYPERLINK("https://sao.dolgi.msk.ru/account/1404132231/", 1404132231)</f>
        <v>1404132231</v>
      </c>
      <c r="D12762">
        <v>-3174.76</v>
      </c>
    </row>
    <row r="12763" spans="1:4" hidden="1" x14ac:dyDescent="0.25">
      <c r="A12763" t="s">
        <v>712</v>
      </c>
      <c r="B12763" t="s">
        <v>17</v>
      </c>
      <c r="C12763" s="2">
        <f>HYPERLINK("https://sao.dolgi.msk.ru/account/1404132274/", 1404132274)</f>
        <v>1404132274</v>
      </c>
      <c r="D12763">
        <v>-4517.7700000000004</v>
      </c>
    </row>
    <row r="12764" spans="1:4" hidden="1" x14ac:dyDescent="0.25">
      <c r="A12764" t="s">
        <v>712</v>
      </c>
      <c r="B12764" t="s">
        <v>18</v>
      </c>
      <c r="C12764" s="2">
        <f>HYPERLINK("https://sao.dolgi.msk.ru/account/1404132709/", 1404132709)</f>
        <v>1404132709</v>
      </c>
      <c r="D12764">
        <v>-5470.08</v>
      </c>
    </row>
    <row r="12765" spans="1:4" hidden="1" x14ac:dyDescent="0.25">
      <c r="A12765" t="s">
        <v>712</v>
      </c>
      <c r="B12765" t="s">
        <v>19</v>
      </c>
      <c r="C12765" s="2">
        <f>HYPERLINK("https://sao.dolgi.msk.ru/account/1404132311/", 1404132311)</f>
        <v>1404132311</v>
      </c>
      <c r="D12765">
        <v>0</v>
      </c>
    </row>
    <row r="12766" spans="1:4" hidden="1" x14ac:dyDescent="0.25">
      <c r="A12766" t="s">
        <v>712</v>
      </c>
      <c r="B12766" t="s">
        <v>20</v>
      </c>
      <c r="C12766" s="2">
        <f>HYPERLINK("https://sao.dolgi.msk.ru/account/1404132936/", 1404132936)</f>
        <v>1404132936</v>
      </c>
      <c r="D12766">
        <v>0</v>
      </c>
    </row>
    <row r="12767" spans="1:4" hidden="1" x14ac:dyDescent="0.25">
      <c r="A12767" t="s">
        <v>712</v>
      </c>
      <c r="B12767" t="s">
        <v>21</v>
      </c>
      <c r="C12767" s="2">
        <f>HYPERLINK("https://sao.dolgi.msk.ru/account/1404133111/", 1404133111)</f>
        <v>1404133111</v>
      </c>
      <c r="D12767">
        <v>0</v>
      </c>
    </row>
    <row r="12768" spans="1:4" hidden="1" x14ac:dyDescent="0.25">
      <c r="A12768" t="s">
        <v>712</v>
      </c>
      <c r="B12768" t="s">
        <v>22</v>
      </c>
      <c r="C12768" s="2">
        <f>HYPERLINK("https://sao.dolgi.msk.ru/account/1404132688/", 1404132688)</f>
        <v>1404132688</v>
      </c>
      <c r="D12768">
        <v>-2812.22</v>
      </c>
    </row>
    <row r="12769" spans="1:4" hidden="1" x14ac:dyDescent="0.25">
      <c r="A12769" t="s">
        <v>712</v>
      </c>
      <c r="B12769" t="s">
        <v>22</v>
      </c>
      <c r="C12769" s="2">
        <f>HYPERLINK("https://sao.dolgi.msk.ru/account/1404133373/", 1404133373)</f>
        <v>1404133373</v>
      </c>
      <c r="D12769">
        <v>-2786.02</v>
      </c>
    </row>
    <row r="12770" spans="1:4" hidden="1" x14ac:dyDescent="0.25">
      <c r="A12770" t="s">
        <v>712</v>
      </c>
      <c r="B12770" t="s">
        <v>23</v>
      </c>
      <c r="C12770" s="2">
        <f>HYPERLINK("https://sao.dolgi.msk.ru/account/1404133138/", 1404133138)</f>
        <v>1404133138</v>
      </c>
      <c r="D12770">
        <v>-5341.52</v>
      </c>
    </row>
    <row r="12771" spans="1:4" hidden="1" x14ac:dyDescent="0.25">
      <c r="A12771" t="s">
        <v>712</v>
      </c>
      <c r="B12771" t="s">
        <v>24</v>
      </c>
      <c r="C12771" s="2">
        <f>HYPERLINK("https://sao.dolgi.msk.ru/account/1404132725/", 1404132725)</f>
        <v>1404132725</v>
      </c>
      <c r="D12771">
        <v>-6705.1</v>
      </c>
    </row>
    <row r="12772" spans="1:4" hidden="1" x14ac:dyDescent="0.25">
      <c r="A12772" t="s">
        <v>712</v>
      </c>
      <c r="B12772" t="s">
        <v>25</v>
      </c>
      <c r="C12772" s="2">
        <f>HYPERLINK("https://sao.dolgi.msk.ru/account/1404132733/", 1404132733)</f>
        <v>1404132733</v>
      </c>
      <c r="D12772">
        <v>-506.52</v>
      </c>
    </row>
    <row r="12773" spans="1:4" hidden="1" x14ac:dyDescent="0.25">
      <c r="A12773" t="s">
        <v>712</v>
      </c>
      <c r="B12773" t="s">
        <v>26</v>
      </c>
      <c r="C12773" s="2">
        <f>HYPERLINK("https://sao.dolgi.msk.ru/account/1404133381/", 1404133381)</f>
        <v>1404133381</v>
      </c>
      <c r="D12773">
        <v>-4961.05</v>
      </c>
    </row>
    <row r="12774" spans="1:4" hidden="1" x14ac:dyDescent="0.25">
      <c r="A12774" t="s">
        <v>712</v>
      </c>
      <c r="B12774" t="s">
        <v>27</v>
      </c>
      <c r="C12774" s="2">
        <f>HYPERLINK("https://sao.dolgi.msk.ru/account/1404133146/", 1404133146)</f>
        <v>1404133146</v>
      </c>
      <c r="D12774">
        <v>0</v>
      </c>
    </row>
    <row r="12775" spans="1:4" hidden="1" x14ac:dyDescent="0.25">
      <c r="A12775" t="s">
        <v>712</v>
      </c>
      <c r="B12775" t="s">
        <v>28</v>
      </c>
      <c r="C12775" s="2">
        <f>HYPERLINK("https://sao.dolgi.msk.ru/account/1404133728/", 1404133728)</f>
        <v>1404133728</v>
      </c>
      <c r="D12775">
        <v>0</v>
      </c>
    </row>
    <row r="12776" spans="1:4" hidden="1" x14ac:dyDescent="0.25">
      <c r="A12776" t="s">
        <v>712</v>
      </c>
      <c r="B12776" t="s">
        <v>29</v>
      </c>
      <c r="C12776" s="2">
        <f>HYPERLINK("https://sao.dolgi.msk.ru/account/1404133736/", 1404133736)</f>
        <v>1404133736</v>
      </c>
      <c r="D12776">
        <v>-3760.78</v>
      </c>
    </row>
    <row r="12777" spans="1:4" hidden="1" x14ac:dyDescent="0.25">
      <c r="A12777" t="s">
        <v>712</v>
      </c>
      <c r="B12777" t="s">
        <v>30</v>
      </c>
      <c r="C12777" s="2">
        <f>HYPERLINK("https://sao.dolgi.msk.ru/account/1404132944/", 1404132944)</f>
        <v>1404132944</v>
      </c>
      <c r="D12777">
        <v>-5167.08</v>
      </c>
    </row>
    <row r="12778" spans="1:4" hidden="1" x14ac:dyDescent="0.25">
      <c r="A12778" t="s">
        <v>712</v>
      </c>
      <c r="B12778" t="s">
        <v>31</v>
      </c>
      <c r="C12778" s="2">
        <f>HYPERLINK("https://sao.dolgi.msk.ru/account/1404133744/", 1404133744)</f>
        <v>1404133744</v>
      </c>
      <c r="D12778">
        <v>-5762.18</v>
      </c>
    </row>
    <row r="12779" spans="1:4" hidden="1" x14ac:dyDescent="0.25">
      <c r="A12779" t="s">
        <v>712</v>
      </c>
      <c r="B12779" t="s">
        <v>32</v>
      </c>
      <c r="C12779" s="2">
        <f>HYPERLINK("https://sao.dolgi.msk.ru/account/1404132741/", 1404132741)</f>
        <v>1404132741</v>
      </c>
      <c r="D12779">
        <v>-4174.8999999999996</v>
      </c>
    </row>
    <row r="12780" spans="1:4" hidden="1" x14ac:dyDescent="0.25">
      <c r="A12780" t="s">
        <v>712</v>
      </c>
      <c r="B12780" t="s">
        <v>33</v>
      </c>
      <c r="C12780" s="2">
        <f>HYPERLINK("https://sao.dolgi.msk.ru/account/1404132952/", 1404132952)</f>
        <v>1404132952</v>
      </c>
      <c r="D12780">
        <v>-231.97</v>
      </c>
    </row>
    <row r="12781" spans="1:4" hidden="1" x14ac:dyDescent="0.25">
      <c r="A12781" t="s">
        <v>712</v>
      </c>
      <c r="B12781" t="s">
        <v>34</v>
      </c>
      <c r="C12781" s="2">
        <f>HYPERLINK("https://sao.dolgi.msk.ru/account/1404133154/", 1404133154)</f>
        <v>1404133154</v>
      </c>
      <c r="D12781">
        <v>-120.71</v>
      </c>
    </row>
    <row r="12782" spans="1:4" hidden="1" x14ac:dyDescent="0.25">
      <c r="A12782" t="s">
        <v>712</v>
      </c>
      <c r="B12782" t="s">
        <v>35</v>
      </c>
      <c r="C12782" s="2">
        <f>HYPERLINK("https://sao.dolgi.msk.ru/account/1404132346/", 1404132346)</f>
        <v>1404132346</v>
      </c>
      <c r="D12782">
        <v>-5447.92</v>
      </c>
    </row>
    <row r="12783" spans="1:4" x14ac:dyDescent="0.25">
      <c r="A12783" t="s">
        <v>712</v>
      </c>
      <c r="B12783" t="s">
        <v>36</v>
      </c>
      <c r="C12783" s="2">
        <f>HYPERLINK("https://sao.dolgi.msk.ru/account/1404133162/", 1404133162)</f>
        <v>1404133162</v>
      </c>
      <c r="D12783">
        <v>8353.39</v>
      </c>
    </row>
    <row r="12784" spans="1:4" hidden="1" x14ac:dyDescent="0.25">
      <c r="A12784" t="s">
        <v>712</v>
      </c>
      <c r="B12784" t="s">
        <v>37</v>
      </c>
      <c r="C12784" s="2">
        <f>HYPERLINK("https://sao.dolgi.msk.ru/account/1404132979/", 1404132979)</f>
        <v>1404132979</v>
      </c>
      <c r="D12784">
        <v>0</v>
      </c>
    </row>
    <row r="12785" spans="1:4" hidden="1" x14ac:dyDescent="0.25">
      <c r="A12785" t="s">
        <v>712</v>
      </c>
      <c r="B12785" t="s">
        <v>38</v>
      </c>
      <c r="C12785" s="2">
        <f>HYPERLINK("https://sao.dolgi.msk.ru/account/1404133402/", 1404133402)</f>
        <v>1404133402</v>
      </c>
      <c r="D12785">
        <v>0</v>
      </c>
    </row>
    <row r="12786" spans="1:4" hidden="1" x14ac:dyDescent="0.25">
      <c r="A12786" t="s">
        <v>712</v>
      </c>
      <c r="B12786" t="s">
        <v>39</v>
      </c>
      <c r="C12786" s="2">
        <f>HYPERLINK("https://sao.dolgi.msk.ru/account/1404133429/", 1404133429)</f>
        <v>1404133429</v>
      </c>
      <c r="D12786">
        <v>0</v>
      </c>
    </row>
    <row r="12787" spans="1:4" hidden="1" x14ac:dyDescent="0.25">
      <c r="A12787" t="s">
        <v>712</v>
      </c>
      <c r="B12787" t="s">
        <v>40</v>
      </c>
      <c r="C12787" s="2">
        <f>HYPERLINK("https://sao.dolgi.msk.ru/account/1404132768/", 1404132768)</f>
        <v>1404132768</v>
      </c>
      <c r="D12787">
        <v>-4143.3599999999997</v>
      </c>
    </row>
    <row r="12788" spans="1:4" hidden="1" x14ac:dyDescent="0.25">
      <c r="A12788" t="s">
        <v>712</v>
      </c>
      <c r="B12788" t="s">
        <v>41</v>
      </c>
      <c r="C12788" s="2">
        <f>HYPERLINK("https://sao.dolgi.msk.ru/account/1404133189/", 1404133189)</f>
        <v>1404133189</v>
      </c>
      <c r="D12788">
        <v>0</v>
      </c>
    </row>
    <row r="12789" spans="1:4" hidden="1" x14ac:dyDescent="0.25">
      <c r="A12789" t="s">
        <v>712</v>
      </c>
      <c r="B12789" t="s">
        <v>42</v>
      </c>
      <c r="C12789" s="2">
        <f>HYPERLINK("https://sao.dolgi.msk.ru/account/1404133197/", 1404133197)</f>
        <v>1404133197</v>
      </c>
      <c r="D12789">
        <v>0</v>
      </c>
    </row>
    <row r="12790" spans="1:4" hidden="1" x14ac:dyDescent="0.25">
      <c r="A12790" t="s">
        <v>712</v>
      </c>
      <c r="B12790" t="s">
        <v>43</v>
      </c>
      <c r="C12790" s="2">
        <f>HYPERLINK("https://sao.dolgi.msk.ru/account/1404132776/", 1404132776)</f>
        <v>1404132776</v>
      </c>
      <c r="D12790">
        <v>-4211.22</v>
      </c>
    </row>
    <row r="12791" spans="1:4" hidden="1" x14ac:dyDescent="0.25">
      <c r="A12791" t="s">
        <v>712</v>
      </c>
      <c r="B12791" t="s">
        <v>44</v>
      </c>
      <c r="C12791" s="2">
        <f>HYPERLINK("https://sao.dolgi.msk.ru/account/1404133218/", 1404133218)</f>
        <v>1404133218</v>
      </c>
      <c r="D12791">
        <v>-4127.18</v>
      </c>
    </row>
    <row r="12792" spans="1:4" hidden="1" x14ac:dyDescent="0.25">
      <c r="A12792" t="s">
        <v>712</v>
      </c>
      <c r="B12792" t="s">
        <v>45</v>
      </c>
      <c r="C12792" s="2">
        <f>HYPERLINK("https://sao.dolgi.msk.ru/account/1404133226/", 1404133226)</f>
        <v>1404133226</v>
      </c>
      <c r="D12792">
        <v>-3501.95</v>
      </c>
    </row>
    <row r="12793" spans="1:4" hidden="1" x14ac:dyDescent="0.25">
      <c r="A12793" t="s">
        <v>712</v>
      </c>
      <c r="B12793" t="s">
        <v>46</v>
      </c>
      <c r="C12793" s="2">
        <f>HYPERLINK("https://sao.dolgi.msk.ru/account/1404132987/", 1404132987)</f>
        <v>1404132987</v>
      </c>
      <c r="D12793">
        <v>0</v>
      </c>
    </row>
    <row r="12794" spans="1:4" hidden="1" x14ac:dyDescent="0.25">
      <c r="A12794" t="s">
        <v>712</v>
      </c>
      <c r="B12794" t="s">
        <v>47</v>
      </c>
      <c r="C12794" s="2">
        <f>HYPERLINK("https://sao.dolgi.msk.ru/account/1404132506/", 1404132506)</f>
        <v>1404132506</v>
      </c>
      <c r="D12794">
        <v>-7157.85</v>
      </c>
    </row>
    <row r="12795" spans="1:4" hidden="1" x14ac:dyDescent="0.25">
      <c r="A12795" t="s">
        <v>712</v>
      </c>
      <c r="B12795" t="s">
        <v>48</v>
      </c>
      <c r="C12795" s="2">
        <f>HYPERLINK("https://sao.dolgi.msk.ru/account/1404133437/", 1404133437)</f>
        <v>1404133437</v>
      </c>
      <c r="D12795">
        <v>-492.08</v>
      </c>
    </row>
    <row r="12796" spans="1:4" hidden="1" x14ac:dyDescent="0.25">
      <c r="A12796" t="s">
        <v>712</v>
      </c>
      <c r="B12796" t="s">
        <v>49</v>
      </c>
      <c r="C12796" s="2">
        <f>HYPERLINK("https://sao.dolgi.msk.ru/account/1404133234/", 1404133234)</f>
        <v>1404133234</v>
      </c>
      <c r="D12796">
        <v>-122.7</v>
      </c>
    </row>
    <row r="12797" spans="1:4" hidden="1" x14ac:dyDescent="0.25">
      <c r="A12797" t="s">
        <v>712</v>
      </c>
      <c r="B12797" t="s">
        <v>50</v>
      </c>
      <c r="C12797" s="2">
        <f>HYPERLINK("https://sao.dolgi.msk.ru/account/1404132098/", 1404132098)</f>
        <v>1404132098</v>
      </c>
      <c r="D12797">
        <v>-4958.8900000000003</v>
      </c>
    </row>
    <row r="12798" spans="1:4" hidden="1" x14ac:dyDescent="0.25">
      <c r="A12798" t="s">
        <v>712</v>
      </c>
      <c r="B12798" t="s">
        <v>51</v>
      </c>
      <c r="C12798" s="2">
        <f>HYPERLINK("https://sao.dolgi.msk.ru/account/1404132354/", 1404132354)</f>
        <v>1404132354</v>
      </c>
      <c r="D12798">
        <v>-191.49</v>
      </c>
    </row>
    <row r="12799" spans="1:4" hidden="1" x14ac:dyDescent="0.25">
      <c r="A12799" t="s">
        <v>712</v>
      </c>
      <c r="B12799" t="s">
        <v>52</v>
      </c>
      <c r="C12799" s="2">
        <f>HYPERLINK("https://sao.dolgi.msk.ru/account/1404132514/", 1404132514)</f>
        <v>1404132514</v>
      </c>
      <c r="D12799">
        <v>-5374.46</v>
      </c>
    </row>
    <row r="12800" spans="1:4" hidden="1" x14ac:dyDescent="0.25">
      <c r="A12800" t="s">
        <v>712</v>
      </c>
      <c r="B12800" t="s">
        <v>53</v>
      </c>
      <c r="C12800" s="2">
        <f>HYPERLINK("https://sao.dolgi.msk.ru/account/1404133445/", 1404133445)</f>
        <v>1404133445</v>
      </c>
      <c r="D12800">
        <v>0</v>
      </c>
    </row>
    <row r="12801" spans="1:4" hidden="1" x14ac:dyDescent="0.25">
      <c r="A12801" t="s">
        <v>712</v>
      </c>
      <c r="B12801" t="s">
        <v>54</v>
      </c>
      <c r="C12801" s="2">
        <f>HYPERLINK("https://sao.dolgi.msk.ru/account/1404132362/", 1404132362)</f>
        <v>1404132362</v>
      </c>
      <c r="D12801">
        <v>-1415.03</v>
      </c>
    </row>
    <row r="12802" spans="1:4" hidden="1" x14ac:dyDescent="0.25">
      <c r="A12802" t="s">
        <v>712</v>
      </c>
      <c r="B12802" t="s">
        <v>55</v>
      </c>
      <c r="C12802" s="2">
        <f>HYPERLINK("https://sao.dolgi.msk.ru/account/1404133453/", 1404133453)</f>
        <v>1404133453</v>
      </c>
      <c r="D12802">
        <v>-2879.78</v>
      </c>
    </row>
    <row r="12803" spans="1:4" hidden="1" x14ac:dyDescent="0.25">
      <c r="A12803" t="s">
        <v>712</v>
      </c>
      <c r="B12803" t="s">
        <v>56</v>
      </c>
      <c r="C12803" s="2">
        <f>HYPERLINK("https://sao.dolgi.msk.ru/account/1404132549/", 1404132549)</f>
        <v>1404132549</v>
      </c>
      <c r="D12803">
        <v>-5340.27</v>
      </c>
    </row>
    <row r="12804" spans="1:4" hidden="1" x14ac:dyDescent="0.25">
      <c r="A12804" t="s">
        <v>712</v>
      </c>
      <c r="B12804" t="s">
        <v>57</v>
      </c>
      <c r="C12804" s="2">
        <f>HYPERLINK("https://sao.dolgi.msk.ru/account/1404133031/", 1404133031)</f>
        <v>1404133031</v>
      </c>
      <c r="D12804">
        <v>0</v>
      </c>
    </row>
    <row r="12805" spans="1:4" hidden="1" x14ac:dyDescent="0.25">
      <c r="A12805" t="s">
        <v>712</v>
      </c>
      <c r="B12805" t="s">
        <v>58</v>
      </c>
      <c r="C12805" s="2">
        <f>HYPERLINK("https://sao.dolgi.msk.ru/account/1404132389/", 1404132389)</f>
        <v>1404132389</v>
      </c>
      <c r="D12805">
        <v>0</v>
      </c>
    </row>
    <row r="12806" spans="1:4" hidden="1" x14ac:dyDescent="0.25">
      <c r="A12806" t="s">
        <v>712</v>
      </c>
      <c r="B12806" t="s">
        <v>59</v>
      </c>
      <c r="C12806" s="2">
        <f>HYPERLINK("https://sao.dolgi.msk.ru/account/1404133752/", 1404133752)</f>
        <v>1404133752</v>
      </c>
      <c r="D12806">
        <v>-2723.58</v>
      </c>
    </row>
    <row r="12807" spans="1:4" hidden="1" x14ac:dyDescent="0.25">
      <c r="A12807" t="s">
        <v>712</v>
      </c>
      <c r="B12807" t="s">
        <v>60</v>
      </c>
      <c r="C12807" s="2">
        <f>HYPERLINK("https://sao.dolgi.msk.ru/account/1404132805/", 1404132805)</f>
        <v>1404132805</v>
      </c>
      <c r="D12807">
        <v>-1962.45</v>
      </c>
    </row>
    <row r="12808" spans="1:4" hidden="1" x14ac:dyDescent="0.25">
      <c r="A12808" t="s">
        <v>712</v>
      </c>
      <c r="B12808" t="s">
        <v>60</v>
      </c>
      <c r="C12808" s="2">
        <f>HYPERLINK("https://sao.dolgi.msk.ru/account/1404133461/", 1404133461)</f>
        <v>1404133461</v>
      </c>
      <c r="D12808">
        <v>-3600.67</v>
      </c>
    </row>
    <row r="12809" spans="1:4" x14ac:dyDescent="0.25">
      <c r="A12809" t="s">
        <v>712</v>
      </c>
      <c r="B12809" t="s">
        <v>61</v>
      </c>
      <c r="C12809" s="2">
        <f>HYPERLINK("https://sao.dolgi.msk.ru/account/1404132784/", 1404132784)</f>
        <v>1404132784</v>
      </c>
      <c r="D12809">
        <v>4551.5200000000004</v>
      </c>
    </row>
    <row r="12810" spans="1:4" hidden="1" x14ac:dyDescent="0.25">
      <c r="A12810" t="s">
        <v>712</v>
      </c>
      <c r="B12810" t="s">
        <v>62</v>
      </c>
      <c r="C12810" s="2">
        <f>HYPERLINK("https://sao.dolgi.msk.ru/account/1404133779/", 1404133779)</f>
        <v>1404133779</v>
      </c>
      <c r="D12810">
        <v>-4998.87</v>
      </c>
    </row>
    <row r="12811" spans="1:4" hidden="1" x14ac:dyDescent="0.25">
      <c r="A12811" t="s">
        <v>712</v>
      </c>
      <c r="B12811" t="s">
        <v>63</v>
      </c>
      <c r="C12811" s="2">
        <f>HYPERLINK("https://sao.dolgi.msk.ru/account/1404132995/", 1404132995)</f>
        <v>1404132995</v>
      </c>
      <c r="D12811">
        <v>-6793.49</v>
      </c>
    </row>
    <row r="12812" spans="1:4" hidden="1" x14ac:dyDescent="0.25">
      <c r="A12812" t="s">
        <v>712</v>
      </c>
      <c r="B12812" t="s">
        <v>64</v>
      </c>
      <c r="C12812" s="2">
        <f>HYPERLINK("https://sao.dolgi.msk.ru/account/1404132557/", 1404132557)</f>
        <v>1404132557</v>
      </c>
      <c r="D12812">
        <v>-1690.27</v>
      </c>
    </row>
    <row r="12813" spans="1:4" hidden="1" x14ac:dyDescent="0.25">
      <c r="A12813" t="s">
        <v>712</v>
      </c>
      <c r="B12813" t="s">
        <v>65</v>
      </c>
      <c r="C12813" s="2">
        <f>HYPERLINK("https://sao.dolgi.msk.ru/account/1404133349/", 1404133349)</f>
        <v>1404133349</v>
      </c>
      <c r="D12813">
        <v>-3760.54</v>
      </c>
    </row>
    <row r="12814" spans="1:4" hidden="1" x14ac:dyDescent="0.25">
      <c r="A12814" t="s">
        <v>712</v>
      </c>
      <c r="B12814" t="s">
        <v>65</v>
      </c>
      <c r="C12814" s="2">
        <f>HYPERLINK("https://sao.dolgi.msk.ru/account/1404133787/", 1404133787)</f>
        <v>1404133787</v>
      </c>
      <c r="D12814">
        <v>-1082.58</v>
      </c>
    </row>
    <row r="12815" spans="1:4" hidden="1" x14ac:dyDescent="0.25">
      <c r="A12815" t="s">
        <v>712</v>
      </c>
      <c r="B12815" t="s">
        <v>66</v>
      </c>
      <c r="C12815" s="2">
        <f>HYPERLINK("https://sao.dolgi.msk.ru/account/1404132397/", 1404132397)</f>
        <v>1404132397</v>
      </c>
      <c r="D12815">
        <v>-6727.04</v>
      </c>
    </row>
    <row r="12816" spans="1:4" hidden="1" x14ac:dyDescent="0.25">
      <c r="A12816" t="s">
        <v>712</v>
      </c>
      <c r="B12816" t="s">
        <v>67</v>
      </c>
      <c r="C12816" s="2">
        <f>HYPERLINK("https://sao.dolgi.msk.ru/account/1404132792/", 1404132792)</f>
        <v>1404132792</v>
      </c>
      <c r="D12816">
        <v>-126.76</v>
      </c>
    </row>
    <row r="12817" spans="1:4" hidden="1" x14ac:dyDescent="0.25">
      <c r="A12817" t="s">
        <v>712</v>
      </c>
      <c r="B12817" t="s">
        <v>68</v>
      </c>
      <c r="C12817" s="2">
        <f>HYPERLINK("https://sao.dolgi.msk.ru/account/1404132418/", 1404132418)</f>
        <v>1404132418</v>
      </c>
      <c r="D12817">
        <v>-5760.26</v>
      </c>
    </row>
    <row r="12818" spans="1:4" x14ac:dyDescent="0.25">
      <c r="A12818" t="s">
        <v>712</v>
      </c>
      <c r="B12818" t="s">
        <v>69</v>
      </c>
      <c r="C12818" s="2">
        <f>HYPERLINK("https://sao.dolgi.msk.ru/account/1404133795/", 1404133795)</f>
        <v>1404133795</v>
      </c>
      <c r="D12818">
        <v>6023.67</v>
      </c>
    </row>
    <row r="12819" spans="1:4" hidden="1" x14ac:dyDescent="0.25">
      <c r="A12819" t="s">
        <v>712</v>
      </c>
      <c r="B12819" t="s">
        <v>70</v>
      </c>
      <c r="C12819" s="2">
        <f>HYPERLINK("https://sao.dolgi.msk.ru/account/1404133488/", 1404133488)</f>
        <v>1404133488</v>
      </c>
      <c r="D12819">
        <v>0</v>
      </c>
    </row>
    <row r="12820" spans="1:4" hidden="1" x14ac:dyDescent="0.25">
      <c r="A12820" t="s">
        <v>712</v>
      </c>
      <c r="B12820" t="s">
        <v>71</v>
      </c>
      <c r="C12820" s="2">
        <f>HYPERLINK("https://sao.dolgi.msk.ru/account/1404132565/", 1404132565)</f>
        <v>1404132565</v>
      </c>
      <c r="D12820">
        <v>0</v>
      </c>
    </row>
    <row r="12821" spans="1:4" hidden="1" x14ac:dyDescent="0.25">
      <c r="A12821" t="s">
        <v>712</v>
      </c>
      <c r="B12821" t="s">
        <v>72</v>
      </c>
      <c r="C12821" s="2">
        <f>HYPERLINK("https://sao.dolgi.msk.ru/account/1404132119/", 1404132119)</f>
        <v>1404132119</v>
      </c>
      <c r="D12821">
        <v>-244.9</v>
      </c>
    </row>
    <row r="12822" spans="1:4" x14ac:dyDescent="0.25">
      <c r="A12822" t="s">
        <v>712</v>
      </c>
      <c r="B12822" t="s">
        <v>73</v>
      </c>
      <c r="C12822" s="2">
        <f>HYPERLINK("https://sao.dolgi.msk.ru/account/1404132573/", 1404132573)</f>
        <v>1404132573</v>
      </c>
      <c r="D12822">
        <v>16558.84</v>
      </c>
    </row>
    <row r="12823" spans="1:4" hidden="1" x14ac:dyDescent="0.25">
      <c r="A12823" t="s">
        <v>712</v>
      </c>
      <c r="B12823" t="s">
        <v>74</v>
      </c>
      <c r="C12823" s="2">
        <f>HYPERLINK("https://sao.dolgi.msk.ru/account/1404133496/", 1404133496)</f>
        <v>1404133496</v>
      </c>
      <c r="D12823">
        <v>-3928.2</v>
      </c>
    </row>
    <row r="12824" spans="1:4" hidden="1" x14ac:dyDescent="0.25">
      <c r="A12824" t="s">
        <v>712</v>
      </c>
      <c r="B12824" t="s">
        <v>75</v>
      </c>
      <c r="C12824" s="2">
        <f>HYPERLINK("https://sao.dolgi.msk.ru/account/1404133269/", 1404133269)</f>
        <v>1404133269</v>
      </c>
      <c r="D12824">
        <v>-204</v>
      </c>
    </row>
    <row r="12825" spans="1:4" hidden="1" x14ac:dyDescent="0.25">
      <c r="A12825" t="s">
        <v>712</v>
      </c>
      <c r="B12825" t="s">
        <v>76</v>
      </c>
      <c r="C12825" s="2">
        <f>HYPERLINK("https://sao.dolgi.msk.ru/account/1404133509/", 1404133509)</f>
        <v>1404133509</v>
      </c>
      <c r="D12825">
        <v>0</v>
      </c>
    </row>
    <row r="12826" spans="1:4" hidden="1" x14ac:dyDescent="0.25">
      <c r="A12826" t="s">
        <v>712</v>
      </c>
      <c r="B12826" t="s">
        <v>77</v>
      </c>
      <c r="C12826" s="2">
        <f>HYPERLINK("https://sao.dolgi.msk.ru/account/1404133277/", 1404133277)</f>
        <v>1404133277</v>
      </c>
      <c r="D12826">
        <v>-4955.3599999999997</v>
      </c>
    </row>
    <row r="12827" spans="1:4" hidden="1" x14ac:dyDescent="0.25">
      <c r="A12827" t="s">
        <v>712</v>
      </c>
      <c r="B12827" t="s">
        <v>78</v>
      </c>
      <c r="C12827" s="2">
        <f>HYPERLINK("https://sao.dolgi.msk.ru/account/1404132127/", 1404132127)</f>
        <v>1404132127</v>
      </c>
      <c r="D12827">
        <v>-6192.15</v>
      </c>
    </row>
    <row r="12828" spans="1:4" hidden="1" x14ac:dyDescent="0.25">
      <c r="A12828" t="s">
        <v>712</v>
      </c>
      <c r="B12828" t="s">
        <v>79</v>
      </c>
      <c r="C12828" s="2">
        <f>HYPERLINK("https://sao.dolgi.msk.ru/account/1404132581/", 1404132581)</f>
        <v>1404132581</v>
      </c>
      <c r="D12828">
        <v>-3903.13</v>
      </c>
    </row>
    <row r="12829" spans="1:4" hidden="1" x14ac:dyDescent="0.25">
      <c r="A12829" t="s">
        <v>712</v>
      </c>
      <c r="B12829" t="s">
        <v>80</v>
      </c>
      <c r="C12829" s="2">
        <f>HYPERLINK("https://sao.dolgi.msk.ru/account/1404132602/", 1404132602)</f>
        <v>1404132602</v>
      </c>
      <c r="D12829">
        <v>-592.97</v>
      </c>
    </row>
    <row r="12830" spans="1:4" hidden="1" x14ac:dyDescent="0.25">
      <c r="A12830" t="s">
        <v>712</v>
      </c>
      <c r="B12830" t="s">
        <v>81</v>
      </c>
      <c r="C12830" s="2">
        <f>HYPERLINK("https://sao.dolgi.msk.ru/account/1404133808/", 1404133808)</f>
        <v>1404133808</v>
      </c>
      <c r="D12830">
        <v>-3372.96</v>
      </c>
    </row>
    <row r="12831" spans="1:4" hidden="1" x14ac:dyDescent="0.25">
      <c r="A12831" t="s">
        <v>712</v>
      </c>
      <c r="B12831" t="s">
        <v>82</v>
      </c>
      <c r="C12831" s="2">
        <f>HYPERLINK("https://sao.dolgi.msk.ru/account/1404133816/", 1404133816)</f>
        <v>1404133816</v>
      </c>
      <c r="D12831">
        <v>0</v>
      </c>
    </row>
    <row r="12832" spans="1:4" hidden="1" x14ac:dyDescent="0.25">
      <c r="A12832" t="s">
        <v>712</v>
      </c>
      <c r="B12832" t="s">
        <v>83</v>
      </c>
      <c r="C12832" s="2">
        <f>HYPERLINK("https://sao.dolgi.msk.ru/account/1404133285/", 1404133285)</f>
        <v>1404133285</v>
      </c>
      <c r="D12832">
        <v>0</v>
      </c>
    </row>
    <row r="12833" spans="1:4" hidden="1" x14ac:dyDescent="0.25">
      <c r="A12833" t="s">
        <v>712</v>
      </c>
      <c r="B12833" t="s">
        <v>84</v>
      </c>
      <c r="C12833" s="2">
        <f>HYPERLINK("https://sao.dolgi.msk.ru/account/1404133517/", 1404133517)</f>
        <v>1404133517</v>
      </c>
      <c r="D12833">
        <v>-2630.76</v>
      </c>
    </row>
    <row r="12834" spans="1:4" hidden="1" x14ac:dyDescent="0.25">
      <c r="A12834" t="s">
        <v>712</v>
      </c>
      <c r="B12834" t="s">
        <v>85</v>
      </c>
      <c r="C12834" s="2">
        <f>HYPERLINK("https://sao.dolgi.msk.ru/account/1404133293/", 1404133293)</f>
        <v>1404133293</v>
      </c>
      <c r="D12834">
        <v>-4308.28</v>
      </c>
    </row>
    <row r="12835" spans="1:4" x14ac:dyDescent="0.25">
      <c r="A12835" t="s">
        <v>712</v>
      </c>
      <c r="B12835" t="s">
        <v>86</v>
      </c>
      <c r="C12835" s="2">
        <f>HYPERLINK("https://sao.dolgi.msk.ru/account/1404133525/", 1404133525)</f>
        <v>1404133525</v>
      </c>
      <c r="D12835">
        <v>5392.31</v>
      </c>
    </row>
    <row r="12836" spans="1:4" hidden="1" x14ac:dyDescent="0.25">
      <c r="A12836" t="s">
        <v>712</v>
      </c>
      <c r="B12836" t="s">
        <v>87</v>
      </c>
      <c r="C12836" s="2">
        <f>HYPERLINK("https://sao.dolgi.msk.ru/account/1404132143/", 1404132143)</f>
        <v>1404132143</v>
      </c>
      <c r="D12836">
        <v>-8845.5300000000007</v>
      </c>
    </row>
    <row r="12837" spans="1:4" x14ac:dyDescent="0.25">
      <c r="A12837" t="s">
        <v>712</v>
      </c>
      <c r="B12837" t="s">
        <v>88</v>
      </c>
      <c r="C12837" s="2">
        <f>HYPERLINK("https://sao.dolgi.msk.ru/account/1404132151/", 1404132151)</f>
        <v>1404132151</v>
      </c>
      <c r="D12837">
        <v>4002.45</v>
      </c>
    </row>
    <row r="12838" spans="1:4" hidden="1" x14ac:dyDescent="0.25">
      <c r="A12838" t="s">
        <v>712</v>
      </c>
      <c r="B12838" t="s">
        <v>89</v>
      </c>
      <c r="C12838" s="2">
        <f>HYPERLINK("https://sao.dolgi.msk.ru/account/1404133306/", 1404133306)</f>
        <v>1404133306</v>
      </c>
      <c r="D12838">
        <v>-6462.88</v>
      </c>
    </row>
    <row r="12839" spans="1:4" x14ac:dyDescent="0.25">
      <c r="A12839" t="s">
        <v>712</v>
      </c>
      <c r="B12839" t="s">
        <v>90</v>
      </c>
      <c r="C12839" s="2">
        <f>HYPERLINK("https://sao.dolgi.msk.ru/account/1404132629/", 1404132629)</f>
        <v>1404132629</v>
      </c>
      <c r="D12839">
        <v>4195.82</v>
      </c>
    </row>
    <row r="12840" spans="1:4" hidden="1" x14ac:dyDescent="0.25">
      <c r="A12840" t="s">
        <v>712</v>
      </c>
      <c r="B12840" t="s">
        <v>91</v>
      </c>
      <c r="C12840" s="2">
        <f>HYPERLINK("https://sao.dolgi.msk.ru/account/1404132637/", 1404132637)</f>
        <v>1404132637</v>
      </c>
      <c r="D12840">
        <v>0</v>
      </c>
    </row>
    <row r="12841" spans="1:4" x14ac:dyDescent="0.25">
      <c r="A12841" t="s">
        <v>712</v>
      </c>
      <c r="B12841" t="s">
        <v>92</v>
      </c>
      <c r="C12841" s="2">
        <f>HYPERLINK("https://sao.dolgi.msk.ru/account/1404133015/", 1404133015)</f>
        <v>1404133015</v>
      </c>
      <c r="D12841">
        <v>51437.67</v>
      </c>
    </row>
    <row r="12842" spans="1:4" hidden="1" x14ac:dyDescent="0.25">
      <c r="A12842" t="s">
        <v>712</v>
      </c>
      <c r="B12842" t="s">
        <v>93</v>
      </c>
      <c r="C12842" s="2">
        <f>HYPERLINK("https://sao.dolgi.msk.ru/account/1404132178/", 1404132178)</f>
        <v>1404132178</v>
      </c>
      <c r="D12842">
        <v>-117.96</v>
      </c>
    </row>
    <row r="12843" spans="1:4" x14ac:dyDescent="0.25">
      <c r="A12843" t="s">
        <v>712</v>
      </c>
      <c r="B12843" t="s">
        <v>94</v>
      </c>
      <c r="C12843" s="2">
        <f>HYPERLINK("https://sao.dolgi.msk.ru/account/1404132186/", 1404132186)</f>
        <v>1404132186</v>
      </c>
      <c r="D12843">
        <v>4813.54</v>
      </c>
    </row>
    <row r="12844" spans="1:4" x14ac:dyDescent="0.25">
      <c r="A12844" t="s">
        <v>712</v>
      </c>
      <c r="B12844" t="s">
        <v>95</v>
      </c>
      <c r="C12844" s="2">
        <f>HYPERLINK("https://sao.dolgi.msk.ru/account/1404132661/", 1404132661)</f>
        <v>1404132661</v>
      </c>
      <c r="D12844">
        <v>37.89</v>
      </c>
    </row>
    <row r="12845" spans="1:4" hidden="1" x14ac:dyDescent="0.25">
      <c r="A12845" t="s">
        <v>712</v>
      </c>
      <c r="B12845" t="s">
        <v>95</v>
      </c>
      <c r="C12845" s="2">
        <f>HYPERLINK("https://sao.dolgi.msk.ru/account/1404133322/", 1404133322)</f>
        <v>1404133322</v>
      </c>
      <c r="D12845">
        <v>-112.32</v>
      </c>
    </row>
    <row r="12846" spans="1:4" hidden="1" x14ac:dyDescent="0.25">
      <c r="A12846" t="s">
        <v>712</v>
      </c>
      <c r="B12846" t="s">
        <v>96</v>
      </c>
      <c r="C12846" s="2">
        <f>HYPERLINK("https://sao.dolgi.msk.ru/account/1404132645/", 1404132645)</f>
        <v>1404132645</v>
      </c>
      <c r="D12846">
        <v>-4467.78</v>
      </c>
    </row>
    <row r="12847" spans="1:4" hidden="1" x14ac:dyDescent="0.25">
      <c r="A12847" t="s">
        <v>712</v>
      </c>
      <c r="B12847" t="s">
        <v>97</v>
      </c>
      <c r="C12847" s="2">
        <f>HYPERLINK("https://sao.dolgi.msk.ru/account/1404132653/", 1404132653)</f>
        <v>1404132653</v>
      </c>
      <c r="D12847">
        <v>-8950.2199999999993</v>
      </c>
    </row>
    <row r="12848" spans="1:4" hidden="1" x14ac:dyDescent="0.25">
      <c r="A12848" t="s">
        <v>712</v>
      </c>
      <c r="B12848" t="s">
        <v>98</v>
      </c>
      <c r="C12848" s="2">
        <f>HYPERLINK("https://sao.dolgi.msk.ru/account/1404133533/", 1404133533)</f>
        <v>1404133533</v>
      </c>
      <c r="D12848">
        <v>-4907.68</v>
      </c>
    </row>
    <row r="12849" spans="1:4" hidden="1" x14ac:dyDescent="0.25">
      <c r="A12849" t="s">
        <v>712</v>
      </c>
      <c r="B12849" t="s">
        <v>99</v>
      </c>
      <c r="C12849" s="2">
        <f>HYPERLINK("https://sao.dolgi.msk.ru/account/1404133541/", 1404133541)</f>
        <v>1404133541</v>
      </c>
      <c r="D12849">
        <v>-684.83</v>
      </c>
    </row>
    <row r="12850" spans="1:4" hidden="1" x14ac:dyDescent="0.25">
      <c r="A12850" t="s">
        <v>712</v>
      </c>
      <c r="B12850" t="s">
        <v>100</v>
      </c>
      <c r="C12850" s="2">
        <f>HYPERLINK("https://sao.dolgi.msk.ru/account/1404133824/", 1404133824)</f>
        <v>1404133824</v>
      </c>
      <c r="D12850">
        <v>0</v>
      </c>
    </row>
    <row r="12851" spans="1:4" hidden="1" x14ac:dyDescent="0.25">
      <c r="A12851" t="s">
        <v>712</v>
      </c>
      <c r="B12851" t="s">
        <v>101</v>
      </c>
      <c r="C12851" s="2">
        <f>HYPERLINK("https://sao.dolgi.msk.ru/account/1404133023/", 1404133023)</f>
        <v>1404133023</v>
      </c>
      <c r="D12851">
        <v>-129.9</v>
      </c>
    </row>
    <row r="12852" spans="1:4" hidden="1" x14ac:dyDescent="0.25">
      <c r="A12852" t="s">
        <v>712</v>
      </c>
      <c r="B12852" t="s">
        <v>102</v>
      </c>
      <c r="C12852" s="2">
        <f>HYPERLINK("https://sao.dolgi.msk.ru/account/1404133568/", 1404133568)</f>
        <v>1404133568</v>
      </c>
      <c r="D12852">
        <v>0</v>
      </c>
    </row>
    <row r="12853" spans="1:4" hidden="1" x14ac:dyDescent="0.25">
      <c r="A12853" t="s">
        <v>712</v>
      </c>
      <c r="B12853" t="s">
        <v>103</v>
      </c>
      <c r="C12853" s="2">
        <f>HYPERLINK("https://sao.dolgi.msk.ru/account/1404132194/", 1404132194)</f>
        <v>1404132194</v>
      </c>
      <c r="D12853">
        <v>-7198.1</v>
      </c>
    </row>
    <row r="12854" spans="1:4" hidden="1" x14ac:dyDescent="0.25">
      <c r="A12854" t="s">
        <v>712</v>
      </c>
      <c r="B12854" t="s">
        <v>104</v>
      </c>
      <c r="C12854" s="2">
        <f>HYPERLINK("https://sao.dolgi.msk.ru/account/1404132696/", 1404132696)</f>
        <v>1404132696</v>
      </c>
      <c r="D12854">
        <v>-120.71</v>
      </c>
    </row>
    <row r="12855" spans="1:4" hidden="1" x14ac:dyDescent="0.25">
      <c r="A12855" t="s">
        <v>712</v>
      </c>
      <c r="B12855" t="s">
        <v>105</v>
      </c>
      <c r="C12855" s="2">
        <f>HYPERLINK("https://sao.dolgi.msk.ru/account/1404132434/", 1404132434)</f>
        <v>1404132434</v>
      </c>
      <c r="D12855">
        <v>-483.75</v>
      </c>
    </row>
    <row r="12856" spans="1:4" hidden="1" x14ac:dyDescent="0.25">
      <c r="A12856" t="s">
        <v>712</v>
      </c>
      <c r="B12856" t="s">
        <v>106</v>
      </c>
      <c r="C12856" s="2">
        <f>HYPERLINK("https://sao.dolgi.msk.ru/account/1404133058/", 1404133058)</f>
        <v>1404133058</v>
      </c>
      <c r="D12856">
        <v>-4051.8</v>
      </c>
    </row>
    <row r="12857" spans="1:4" hidden="1" x14ac:dyDescent="0.25">
      <c r="A12857" t="s">
        <v>712</v>
      </c>
      <c r="B12857" t="s">
        <v>107</v>
      </c>
      <c r="C12857" s="2">
        <f>HYPERLINK("https://sao.dolgi.msk.ru/account/1404132813/", 1404132813)</f>
        <v>1404132813</v>
      </c>
      <c r="D12857">
        <v>0</v>
      </c>
    </row>
    <row r="12858" spans="1:4" hidden="1" x14ac:dyDescent="0.25">
      <c r="A12858" t="s">
        <v>712</v>
      </c>
      <c r="B12858" t="s">
        <v>108</v>
      </c>
      <c r="C12858" s="2">
        <f>HYPERLINK("https://sao.dolgi.msk.ru/account/1404132207/", 1404132207)</f>
        <v>1404132207</v>
      </c>
      <c r="D12858">
        <v>0</v>
      </c>
    </row>
    <row r="12859" spans="1:4" hidden="1" x14ac:dyDescent="0.25">
      <c r="A12859" t="s">
        <v>712</v>
      </c>
      <c r="B12859" t="s">
        <v>109</v>
      </c>
      <c r="C12859" s="2">
        <f>HYPERLINK("https://sao.dolgi.msk.ru/account/1404132047/", 1404132047)</f>
        <v>1404132047</v>
      </c>
      <c r="D12859">
        <v>-6856.35</v>
      </c>
    </row>
    <row r="12860" spans="1:4" hidden="1" x14ac:dyDescent="0.25">
      <c r="A12860" t="s">
        <v>712</v>
      </c>
      <c r="B12860" t="s">
        <v>110</v>
      </c>
      <c r="C12860" s="2">
        <f>HYPERLINK("https://sao.dolgi.msk.ru/account/1404132821/", 1404132821)</f>
        <v>1404132821</v>
      </c>
      <c r="D12860">
        <v>-5287.45</v>
      </c>
    </row>
    <row r="12861" spans="1:4" hidden="1" x14ac:dyDescent="0.25">
      <c r="A12861" t="s">
        <v>712</v>
      </c>
      <c r="B12861" t="s">
        <v>111</v>
      </c>
      <c r="C12861" s="2">
        <f>HYPERLINK("https://sao.dolgi.msk.ru/account/1404133576/", 1404133576)</f>
        <v>1404133576</v>
      </c>
      <c r="D12861">
        <v>-158.75</v>
      </c>
    </row>
    <row r="12862" spans="1:4" hidden="1" x14ac:dyDescent="0.25">
      <c r="A12862" t="s">
        <v>712</v>
      </c>
      <c r="B12862" t="s">
        <v>112</v>
      </c>
      <c r="C12862" s="2">
        <f>HYPERLINK("https://sao.dolgi.msk.ru/account/1404133584/", 1404133584)</f>
        <v>1404133584</v>
      </c>
      <c r="D12862">
        <v>-2738.42</v>
      </c>
    </row>
    <row r="12863" spans="1:4" hidden="1" x14ac:dyDescent="0.25">
      <c r="A12863" t="s">
        <v>712</v>
      </c>
      <c r="B12863" t="s">
        <v>113</v>
      </c>
      <c r="C12863" s="2">
        <f>HYPERLINK("https://sao.dolgi.msk.ru/account/1404132055/", 1404132055)</f>
        <v>1404132055</v>
      </c>
      <c r="D12863">
        <v>-366.48</v>
      </c>
    </row>
    <row r="12864" spans="1:4" hidden="1" x14ac:dyDescent="0.25">
      <c r="A12864" t="s">
        <v>712</v>
      </c>
      <c r="B12864" t="s">
        <v>114</v>
      </c>
      <c r="C12864" s="2">
        <f>HYPERLINK("https://sao.dolgi.msk.ru/account/1404133066/", 1404133066)</f>
        <v>1404133066</v>
      </c>
      <c r="D12864">
        <v>-5770.63</v>
      </c>
    </row>
    <row r="12865" spans="1:4" hidden="1" x14ac:dyDescent="0.25">
      <c r="A12865" t="s">
        <v>712</v>
      </c>
      <c r="B12865" t="s">
        <v>115</v>
      </c>
      <c r="C12865" s="2">
        <f>HYPERLINK("https://sao.dolgi.msk.ru/account/1404132469/", 1404132469)</f>
        <v>1404132469</v>
      </c>
      <c r="D12865">
        <v>-5465.81</v>
      </c>
    </row>
    <row r="12866" spans="1:4" hidden="1" x14ac:dyDescent="0.25">
      <c r="A12866" t="s">
        <v>712</v>
      </c>
      <c r="B12866" t="s">
        <v>116</v>
      </c>
      <c r="C12866" s="2">
        <f>HYPERLINK("https://sao.dolgi.msk.ru/account/1404133592/", 1404133592)</f>
        <v>1404133592</v>
      </c>
      <c r="D12866">
        <v>0</v>
      </c>
    </row>
    <row r="12867" spans="1:4" hidden="1" x14ac:dyDescent="0.25">
      <c r="A12867" t="s">
        <v>712</v>
      </c>
      <c r="B12867" t="s">
        <v>117</v>
      </c>
      <c r="C12867" s="2">
        <f>HYPERLINK("https://sao.dolgi.msk.ru/account/1404133074/", 1404133074)</f>
        <v>1404133074</v>
      </c>
      <c r="D12867">
        <v>-5591.78</v>
      </c>
    </row>
    <row r="12868" spans="1:4" hidden="1" x14ac:dyDescent="0.25">
      <c r="A12868" t="s">
        <v>712</v>
      </c>
      <c r="B12868" t="s">
        <v>118</v>
      </c>
      <c r="C12868" s="2">
        <f>HYPERLINK("https://sao.dolgi.msk.ru/account/1404132215/", 1404132215)</f>
        <v>1404132215</v>
      </c>
      <c r="D12868">
        <v>0</v>
      </c>
    </row>
    <row r="12869" spans="1:4" hidden="1" x14ac:dyDescent="0.25">
      <c r="A12869" t="s">
        <v>712</v>
      </c>
      <c r="B12869" t="s">
        <v>119</v>
      </c>
      <c r="C12869" s="2">
        <f>HYPERLINK("https://sao.dolgi.msk.ru/account/1404133605/", 1404133605)</f>
        <v>1404133605</v>
      </c>
      <c r="D12869">
        <v>-4643.6899999999996</v>
      </c>
    </row>
    <row r="12870" spans="1:4" hidden="1" x14ac:dyDescent="0.25">
      <c r="A12870" t="s">
        <v>712</v>
      </c>
      <c r="B12870" t="s">
        <v>120</v>
      </c>
      <c r="C12870" s="2">
        <f>HYPERLINK("https://sao.dolgi.msk.ru/account/1404132223/", 1404132223)</f>
        <v>1404132223</v>
      </c>
      <c r="D12870">
        <v>-5224.6400000000003</v>
      </c>
    </row>
    <row r="12871" spans="1:4" hidden="1" x14ac:dyDescent="0.25">
      <c r="A12871" t="s">
        <v>712</v>
      </c>
      <c r="B12871" t="s">
        <v>121</v>
      </c>
      <c r="C12871" s="2">
        <f>HYPERLINK("https://sao.dolgi.msk.ru/account/1404132848/", 1404132848)</f>
        <v>1404132848</v>
      </c>
      <c r="D12871">
        <v>-150.97999999999999</v>
      </c>
    </row>
    <row r="12872" spans="1:4" hidden="1" x14ac:dyDescent="0.25">
      <c r="A12872" t="s">
        <v>712</v>
      </c>
      <c r="B12872" t="s">
        <v>122</v>
      </c>
      <c r="C12872" s="2">
        <f>HYPERLINK("https://sao.dolgi.msk.ru/account/1404133613/", 1404133613)</f>
        <v>1404133613</v>
      </c>
      <c r="D12872">
        <v>0</v>
      </c>
    </row>
    <row r="12873" spans="1:4" hidden="1" x14ac:dyDescent="0.25">
      <c r="A12873" t="s">
        <v>712</v>
      </c>
      <c r="B12873" t="s">
        <v>123</v>
      </c>
      <c r="C12873" s="2">
        <f>HYPERLINK("https://sao.dolgi.msk.ru/account/1404132856/", 1404132856)</f>
        <v>1404132856</v>
      </c>
      <c r="D12873">
        <v>0</v>
      </c>
    </row>
    <row r="12874" spans="1:4" hidden="1" x14ac:dyDescent="0.25">
      <c r="A12874" t="s">
        <v>712</v>
      </c>
      <c r="B12874" t="s">
        <v>124</v>
      </c>
      <c r="C12874" s="2">
        <f>HYPERLINK("https://sao.dolgi.msk.ru/account/1404133621/", 1404133621)</f>
        <v>1404133621</v>
      </c>
      <c r="D12874">
        <v>-1713.16</v>
      </c>
    </row>
    <row r="12875" spans="1:4" hidden="1" x14ac:dyDescent="0.25">
      <c r="A12875" t="s">
        <v>712</v>
      </c>
      <c r="B12875" t="s">
        <v>125</v>
      </c>
      <c r="C12875" s="2">
        <f>HYPERLINK("https://sao.dolgi.msk.ru/account/1404132063/", 1404132063)</f>
        <v>1404132063</v>
      </c>
      <c r="D12875">
        <v>-6426.76</v>
      </c>
    </row>
    <row r="12876" spans="1:4" hidden="1" x14ac:dyDescent="0.25">
      <c r="A12876" t="s">
        <v>712</v>
      </c>
      <c r="B12876" t="s">
        <v>126</v>
      </c>
      <c r="C12876" s="2">
        <f>HYPERLINK("https://sao.dolgi.msk.ru/account/1404133648/", 1404133648)</f>
        <v>1404133648</v>
      </c>
      <c r="D12876">
        <v>-5233.59</v>
      </c>
    </row>
    <row r="12877" spans="1:4" hidden="1" x14ac:dyDescent="0.25">
      <c r="A12877" t="s">
        <v>712</v>
      </c>
      <c r="B12877" t="s">
        <v>127</v>
      </c>
      <c r="C12877" s="2">
        <f>HYPERLINK("https://sao.dolgi.msk.ru/account/1404132258/", 1404132258)</f>
        <v>1404132258</v>
      </c>
      <c r="D12877">
        <v>-2950.87</v>
      </c>
    </row>
    <row r="12878" spans="1:4" x14ac:dyDescent="0.25">
      <c r="A12878" t="s">
        <v>712</v>
      </c>
      <c r="B12878" t="s">
        <v>128</v>
      </c>
      <c r="C12878" s="2">
        <f>HYPERLINK("https://sao.dolgi.msk.ru/account/1404132266/", 1404132266)</f>
        <v>1404132266</v>
      </c>
      <c r="D12878">
        <v>1766.46</v>
      </c>
    </row>
    <row r="12879" spans="1:4" hidden="1" x14ac:dyDescent="0.25">
      <c r="A12879" t="s">
        <v>712</v>
      </c>
      <c r="B12879" t="s">
        <v>129</v>
      </c>
      <c r="C12879" s="2">
        <f>HYPERLINK("https://sao.dolgi.msk.ru/account/1404132477/", 1404132477)</f>
        <v>1404132477</v>
      </c>
      <c r="D12879">
        <v>-6850.24</v>
      </c>
    </row>
    <row r="12880" spans="1:4" hidden="1" x14ac:dyDescent="0.25">
      <c r="A12880" t="s">
        <v>712</v>
      </c>
      <c r="B12880" t="s">
        <v>130</v>
      </c>
      <c r="C12880" s="2">
        <f>HYPERLINK("https://sao.dolgi.msk.ru/account/1404133082/", 1404133082)</f>
        <v>1404133082</v>
      </c>
      <c r="D12880">
        <v>0</v>
      </c>
    </row>
    <row r="12881" spans="1:4" hidden="1" x14ac:dyDescent="0.25">
      <c r="A12881" t="s">
        <v>712</v>
      </c>
      <c r="B12881" t="s">
        <v>131</v>
      </c>
      <c r="C12881" s="2">
        <f>HYPERLINK("https://sao.dolgi.msk.ru/account/1404133103/", 1404133103)</f>
        <v>1404133103</v>
      </c>
      <c r="D12881">
        <v>-6135.51</v>
      </c>
    </row>
    <row r="12882" spans="1:4" hidden="1" x14ac:dyDescent="0.25">
      <c r="A12882" t="s">
        <v>712</v>
      </c>
      <c r="B12882" t="s">
        <v>132</v>
      </c>
      <c r="C12882" s="2">
        <f>HYPERLINK("https://sao.dolgi.msk.ru/account/1404133656/", 1404133656)</f>
        <v>1404133656</v>
      </c>
      <c r="D12882">
        <v>-4944.45</v>
      </c>
    </row>
    <row r="12883" spans="1:4" x14ac:dyDescent="0.25">
      <c r="A12883" t="s">
        <v>712</v>
      </c>
      <c r="B12883" t="s">
        <v>133</v>
      </c>
      <c r="C12883" s="2">
        <f>HYPERLINK("https://sao.dolgi.msk.ru/account/1404132864/", 1404132864)</f>
        <v>1404132864</v>
      </c>
      <c r="D12883">
        <v>224052.34</v>
      </c>
    </row>
    <row r="12884" spans="1:4" hidden="1" x14ac:dyDescent="0.25">
      <c r="A12884" t="s">
        <v>712</v>
      </c>
      <c r="B12884" t="s">
        <v>134</v>
      </c>
      <c r="C12884" s="2">
        <f>HYPERLINK("https://sao.dolgi.msk.ru/account/1404132872/", 1404132872)</f>
        <v>1404132872</v>
      </c>
      <c r="D12884">
        <v>-7014.71</v>
      </c>
    </row>
    <row r="12885" spans="1:4" hidden="1" x14ac:dyDescent="0.25">
      <c r="A12885" t="s">
        <v>712</v>
      </c>
      <c r="B12885" t="s">
        <v>135</v>
      </c>
      <c r="C12885" s="2">
        <f>HYPERLINK("https://sao.dolgi.msk.ru/account/1404133664/", 1404133664)</f>
        <v>1404133664</v>
      </c>
      <c r="D12885">
        <v>-5122.45</v>
      </c>
    </row>
    <row r="12886" spans="1:4" hidden="1" x14ac:dyDescent="0.25">
      <c r="A12886" t="s">
        <v>712</v>
      </c>
      <c r="B12886" t="s">
        <v>136</v>
      </c>
      <c r="C12886" s="2">
        <f>HYPERLINK("https://sao.dolgi.msk.ru/account/1404132282/", 1404132282)</f>
        <v>1404132282</v>
      </c>
      <c r="D12886">
        <v>-5905.76</v>
      </c>
    </row>
    <row r="12887" spans="1:4" hidden="1" x14ac:dyDescent="0.25">
      <c r="A12887" t="s">
        <v>712</v>
      </c>
      <c r="B12887" t="s">
        <v>137</v>
      </c>
      <c r="C12887" s="2">
        <f>HYPERLINK("https://sao.dolgi.msk.ru/account/1404132303/", 1404132303)</f>
        <v>1404132303</v>
      </c>
      <c r="D12887">
        <v>-119.28</v>
      </c>
    </row>
    <row r="12888" spans="1:4" hidden="1" x14ac:dyDescent="0.25">
      <c r="A12888" t="s">
        <v>712</v>
      </c>
      <c r="B12888" t="s">
        <v>138</v>
      </c>
      <c r="C12888" s="2">
        <f>HYPERLINK("https://sao.dolgi.msk.ru/account/1404133672/", 1404133672)</f>
        <v>1404133672</v>
      </c>
      <c r="D12888">
        <v>-4043.31</v>
      </c>
    </row>
    <row r="12889" spans="1:4" hidden="1" x14ac:dyDescent="0.25">
      <c r="A12889" t="s">
        <v>712</v>
      </c>
      <c r="B12889" t="s">
        <v>139</v>
      </c>
      <c r="C12889" s="2">
        <f>HYPERLINK("https://sao.dolgi.msk.ru/account/1404132485/", 1404132485)</f>
        <v>1404132485</v>
      </c>
      <c r="D12889">
        <v>-3645.19</v>
      </c>
    </row>
    <row r="12890" spans="1:4" hidden="1" x14ac:dyDescent="0.25">
      <c r="A12890" t="s">
        <v>712</v>
      </c>
      <c r="B12890" t="s">
        <v>140</v>
      </c>
      <c r="C12890" s="2">
        <f>HYPERLINK("https://sao.dolgi.msk.ru/account/1404133699/", 1404133699)</f>
        <v>1404133699</v>
      </c>
      <c r="D12890">
        <v>-2428.58</v>
      </c>
    </row>
    <row r="12891" spans="1:4" hidden="1" x14ac:dyDescent="0.25">
      <c r="A12891" t="s">
        <v>712</v>
      </c>
      <c r="B12891" t="s">
        <v>141</v>
      </c>
      <c r="C12891" s="2">
        <f>HYPERLINK("https://sao.dolgi.msk.ru/account/1404132899/", 1404132899)</f>
        <v>1404132899</v>
      </c>
      <c r="D12891">
        <v>-12334.49</v>
      </c>
    </row>
    <row r="12892" spans="1:4" hidden="1" x14ac:dyDescent="0.25">
      <c r="A12892" t="s">
        <v>712</v>
      </c>
      <c r="B12892" t="s">
        <v>142</v>
      </c>
      <c r="C12892" s="2">
        <f>HYPERLINK("https://sao.dolgi.msk.ru/account/1404133357/", 1404133357)</f>
        <v>1404133357</v>
      </c>
      <c r="D12892">
        <v>-4673.38</v>
      </c>
    </row>
    <row r="12893" spans="1:4" hidden="1" x14ac:dyDescent="0.25">
      <c r="A12893" t="s">
        <v>712</v>
      </c>
      <c r="B12893" t="s">
        <v>143</v>
      </c>
      <c r="C12893" s="2">
        <f>HYPERLINK("https://sao.dolgi.msk.ru/account/1404132901/", 1404132901)</f>
        <v>1404132901</v>
      </c>
      <c r="D12893">
        <v>0</v>
      </c>
    </row>
    <row r="12894" spans="1:4" hidden="1" x14ac:dyDescent="0.25">
      <c r="A12894" t="s">
        <v>712</v>
      </c>
      <c r="B12894" t="s">
        <v>144</v>
      </c>
      <c r="C12894" s="2">
        <f>HYPERLINK("https://sao.dolgi.msk.ru/account/1404132493/", 1404132493)</f>
        <v>1404132493</v>
      </c>
      <c r="D12894">
        <v>0</v>
      </c>
    </row>
    <row r="12895" spans="1:4" x14ac:dyDescent="0.25">
      <c r="A12895" t="s">
        <v>712</v>
      </c>
      <c r="B12895" t="s">
        <v>145</v>
      </c>
      <c r="C12895" s="2">
        <f>HYPERLINK("https://sao.dolgi.msk.ru/account/1404133365/", 1404133365)</f>
        <v>1404133365</v>
      </c>
      <c r="D12895">
        <v>10475.299999999999</v>
      </c>
    </row>
    <row r="12896" spans="1:4" hidden="1" x14ac:dyDescent="0.25">
      <c r="A12896" t="s">
        <v>712</v>
      </c>
      <c r="B12896" t="s">
        <v>146</v>
      </c>
      <c r="C12896" s="2">
        <f>HYPERLINK("https://sao.dolgi.msk.ru/account/1404133701/", 1404133701)</f>
        <v>1404133701</v>
      </c>
      <c r="D12896">
        <v>0</v>
      </c>
    </row>
    <row r="12897" spans="1:4" hidden="1" x14ac:dyDescent="0.25">
      <c r="A12897" t="s">
        <v>712</v>
      </c>
      <c r="B12897" t="s">
        <v>147</v>
      </c>
      <c r="C12897" s="2">
        <f>HYPERLINK("https://sao.dolgi.msk.ru/account/1404132717/", 1404132717)</f>
        <v>1404132717</v>
      </c>
      <c r="D12897">
        <v>-1380.67</v>
      </c>
    </row>
    <row r="12898" spans="1:4" hidden="1" x14ac:dyDescent="0.25">
      <c r="A12898" t="s">
        <v>712</v>
      </c>
      <c r="B12898" t="s">
        <v>148</v>
      </c>
      <c r="C12898" s="2">
        <f>HYPERLINK("https://sao.dolgi.msk.ru/account/1404132928/", 1404132928)</f>
        <v>1404132928</v>
      </c>
      <c r="D12898">
        <v>-1938.31</v>
      </c>
    </row>
    <row r="12899" spans="1:4" x14ac:dyDescent="0.25">
      <c r="A12899" t="s">
        <v>713</v>
      </c>
      <c r="B12899" t="s">
        <v>5</v>
      </c>
      <c r="C12899" s="2">
        <f>HYPERLINK("https://sao.dolgi.msk.ru/account/1404210316/", 1404210316)</f>
        <v>1404210316</v>
      </c>
      <c r="D12899">
        <v>11403.43</v>
      </c>
    </row>
    <row r="12900" spans="1:4" hidden="1" x14ac:dyDescent="0.25">
      <c r="A12900" t="s">
        <v>713</v>
      </c>
      <c r="B12900" t="s">
        <v>6</v>
      </c>
      <c r="C12900" s="2">
        <f>HYPERLINK("https://sao.dolgi.msk.ru/account/1404210797/", 1404210797)</f>
        <v>1404210797</v>
      </c>
      <c r="D12900">
        <v>-5120.5600000000004</v>
      </c>
    </row>
    <row r="12901" spans="1:4" hidden="1" x14ac:dyDescent="0.25">
      <c r="A12901" t="s">
        <v>713</v>
      </c>
      <c r="B12901" t="s">
        <v>7</v>
      </c>
      <c r="C12901" s="2">
        <f>HYPERLINK("https://sao.dolgi.msk.ru/account/1404211036/", 1404211036)</f>
        <v>1404211036</v>
      </c>
      <c r="D12901">
        <v>-7098.23</v>
      </c>
    </row>
    <row r="12902" spans="1:4" hidden="1" x14ac:dyDescent="0.25">
      <c r="A12902" t="s">
        <v>713</v>
      </c>
      <c r="B12902" t="s">
        <v>8</v>
      </c>
      <c r="C12902" s="2">
        <f>HYPERLINK("https://sao.dolgi.msk.ru/account/1404211132/", 1404211132)</f>
        <v>1404211132</v>
      </c>
      <c r="D12902">
        <v>0</v>
      </c>
    </row>
    <row r="12903" spans="1:4" hidden="1" x14ac:dyDescent="0.25">
      <c r="A12903" t="s">
        <v>713</v>
      </c>
      <c r="B12903" t="s">
        <v>9</v>
      </c>
      <c r="C12903" s="2">
        <f>HYPERLINK("https://sao.dolgi.msk.ru/account/1404211159/", 1404211159)</f>
        <v>1404211159</v>
      </c>
      <c r="D12903">
        <v>0</v>
      </c>
    </row>
    <row r="12904" spans="1:4" hidden="1" x14ac:dyDescent="0.25">
      <c r="A12904" t="s">
        <v>713</v>
      </c>
      <c r="B12904" t="s">
        <v>10</v>
      </c>
      <c r="C12904" s="2">
        <f>HYPERLINK("https://sao.dolgi.msk.ru/account/1404210842/", 1404210842)</f>
        <v>1404210842</v>
      </c>
      <c r="D12904">
        <v>0</v>
      </c>
    </row>
    <row r="12905" spans="1:4" hidden="1" x14ac:dyDescent="0.25">
      <c r="A12905" t="s">
        <v>713</v>
      </c>
      <c r="B12905" t="s">
        <v>11</v>
      </c>
      <c r="C12905" s="2">
        <f>HYPERLINK("https://sao.dolgi.msk.ru/account/1404210463/", 1404210463)</f>
        <v>1404210463</v>
      </c>
      <c r="D12905">
        <v>0</v>
      </c>
    </row>
    <row r="12906" spans="1:4" hidden="1" x14ac:dyDescent="0.25">
      <c r="A12906" t="s">
        <v>713</v>
      </c>
      <c r="B12906" t="s">
        <v>11</v>
      </c>
      <c r="C12906" s="2">
        <f>HYPERLINK("https://sao.dolgi.msk.ru/account/1404210674/", 1404210674)</f>
        <v>1404210674</v>
      </c>
      <c r="D12906">
        <v>-6232.81</v>
      </c>
    </row>
    <row r="12907" spans="1:4" hidden="1" x14ac:dyDescent="0.25">
      <c r="A12907" t="s">
        <v>713</v>
      </c>
      <c r="B12907" t="s">
        <v>12</v>
      </c>
      <c r="C12907" s="2">
        <f>HYPERLINK("https://sao.dolgi.msk.ru/account/1404211343/", 1404211343)</f>
        <v>1404211343</v>
      </c>
      <c r="D12907">
        <v>-8895.2000000000007</v>
      </c>
    </row>
    <row r="12908" spans="1:4" hidden="1" x14ac:dyDescent="0.25">
      <c r="A12908" t="s">
        <v>713</v>
      </c>
      <c r="B12908" t="s">
        <v>13</v>
      </c>
      <c r="C12908" s="2">
        <f>HYPERLINK("https://sao.dolgi.msk.ru/account/1404211087/", 1404211087)</f>
        <v>1404211087</v>
      </c>
      <c r="D12908">
        <v>-7281.85</v>
      </c>
    </row>
    <row r="12909" spans="1:4" hidden="1" x14ac:dyDescent="0.25">
      <c r="A12909" t="s">
        <v>713</v>
      </c>
      <c r="B12909" t="s">
        <v>14</v>
      </c>
      <c r="C12909" s="2">
        <f>HYPERLINK("https://sao.dolgi.msk.ru/account/1404210973/", 1404210973)</f>
        <v>1404210973</v>
      </c>
      <c r="D12909">
        <v>-14556.06</v>
      </c>
    </row>
    <row r="12910" spans="1:4" hidden="1" x14ac:dyDescent="0.25">
      <c r="A12910" t="s">
        <v>713</v>
      </c>
      <c r="B12910" t="s">
        <v>15</v>
      </c>
      <c r="C12910" s="2">
        <f>HYPERLINK("https://sao.dolgi.msk.ru/account/1404210922/", 1404210922)</f>
        <v>1404210922</v>
      </c>
      <c r="D12910">
        <v>-5778.36</v>
      </c>
    </row>
    <row r="12911" spans="1:4" hidden="1" x14ac:dyDescent="0.25">
      <c r="A12911" t="s">
        <v>713</v>
      </c>
      <c r="B12911" t="s">
        <v>16</v>
      </c>
      <c r="C12911" s="2">
        <f>HYPERLINK("https://sao.dolgi.msk.ru/account/1404210447/", 1404210447)</f>
        <v>1404210447</v>
      </c>
      <c r="D12911">
        <v>-8324.81</v>
      </c>
    </row>
    <row r="12912" spans="1:4" x14ac:dyDescent="0.25">
      <c r="A12912" t="s">
        <v>713</v>
      </c>
      <c r="B12912" t="s">
        <v>17</v>
      </c>
      <c r="C12912" s="2">
        <f>HYPERLINK("https://sao.dolgi.msk.ru/account/1404210682/", 1404210682)</f>
        <v>1404210682</v>
      </c>
      <c r="D12912">
        <v>7913.82</v>
      </c>
    </row>
    <row r="12913" spans="1:4" hidden="1" x14ac:dyDescent="0.25">
      <c r="A12913" t="s">
        <v>713</v>
      </c>
      <c r="B12913" t="s">
        <v>18</v>
      </c>
      <c r="C12913" s="2">
        <f>HYPERLINK("https://sao.dolgi.msk.ru/account/1404210703/", 1404210703)</f>
        <v>1404210703</v>
      </c>
      <c r="D12913">
        <v>-7185.49</v>
      </c>
    </row>
    <row r="12914" spans="1:4" hidden="1" x14ac:dyDescent="0.25">
      <c r="A12914" t="s">
        <v>713</v>
      </c>
      <c r="B12914" t="s">
        <v>19</v>
      </c>
      <c r="C12914" s="2">
        <f>HYPERLINK("https://sao.dolgi.msk.ru/account/1404211327/", 1404211327)</f>
        <v>1404211327</v>
      </c>
      <c r="D12914">
        <v>-5909.45</v>
      </c>
    </row>
    <row r="12915" spans="1:4" hidden="1" x14ac:dyDescent="0.25">
      <c r="A12915" t="s">
        <v>713</v>
      </c>
      <c r="B12915" t="s">
        <v>20</v>
      </c>
      <c r="C12915" s="2">
        <f>HYPERLINK("https://sao.dolgi.msk.ru/account/1404210711/", 1404210711)</f>
        <v>1404210711</v>
      </c>
      <c r="D12915">
        <v>-10804.23</v>
      </c>
    </row>
    <row r="12916" spans="1:4" hidden="1" x14ac:dyDescent="0.25">
      <c r="A12916" t="s">
        <v>713</v>
      </c>
      <c r="B12916" t="s">
        <v>21</v>
      </c>
      <c r="C12916" s="2">
        <f>HYPERLINK("https://sao.dolgi.msk.ru/account/1404210308/", 1404210308)</f>
        <v>1404210308</v>
      </c>
      <c r="D12916">
        <v>0</v>
      </c>
    </row>
    <row r="12917" spans="1:4" hidden="1" x14ac:dyDescent="0.25">
      <c r="A12917" t="s">
        <v>713</v>
      </c>
      <c r="B12917" t="s">
        <v>22</v>
      </c>
      <c r="C12917" s="2">
        <f>HYPERLINK("https://sao.dolgi.msk.ru/account/1404210738/", 1404210738)</f>
        <v>1404210738</v>
      </c>
      <c r="D12917">
        <v>-4696.16</v>
      </c>
    </row>
    <row r="12918" spans="1:4" x14ac:dyDescent="0.25">
      <c r="A12918" t="s">
        <v>713</v>
      </c>
      <c r="B12918" t="s">
        <v>23</v>
      </c>
      <c r="C12918" s="2">
        <f>HYPERLINK("https://sao.dolgi.msk.ru/account/1404210949/", 1404210949)</f>
        <v>1404210949</v>
      </c>
      <c r="D12918">
        <v>21649.02</v>
      </c>
    </row>
    <row r="12919" spans="1:4" hidden="1" x14ac:dyDescent="0.25">
      <c r="A12919" t="s">
        <v>713</v>
      </c>
      <c r="B12919" t="s">
        <v>24</v>
      </c>
      <c r="C12919" s="2">
        <f>HYPERLINK("https://sao.dolgi.msk.ru/account/1404211298/", 1404211298)</f>
        <v>1404211298</v>
      </c>
      <c r="D12919">
        <v>-7106.08</v>
      </c>
    </row>
    <row r="12920" spans="1:4" hidden="1" x14ac:dyDescent="0.25">
      <c r="A12920" t="s">
        <v>713</v>
      </c>
      <c r="B12920" t="s">
        <v>25</v>
      </c>
      <c r="C12920" s="2">
        <f>HYPERLINK("https://sao.dolgi.msk.ru/account/1404210594/", 1404210594)</f>
        <v>1404210594</v>
      </c>
      <c r="D12920">
        <v>-7924.58</v>
      </c>
    </row>
    <row r="12921" spans="1:4" hidden="1" x14ac:dyDescent="0.25">
      <c r="A12921" t="s">
        <v>713</v>
      </c>
      <c r="B12921" t="s">
        <v>26</v>
      </c>
      <c r="C12921" s="2">
        <f>HYPERLINK("https://sao.dolgi.msk.ru/account/1404211001/", 1404211001)</f>
        <v>1404211001</v>
      </c>
      <c r="D12921">
        <v>-12595.71</v>
      </c>
    </row>
    <row r="12922" spans="1:4" x14ac:dyDescent="0.25">
      <c r="A12922" t="s">
        <v>713</v>
      </c>
      <c r="B12922" t="s">
        <v>27</v>
      </c>
      <c r="C12922" s="2">
        <f>HYPERLINK("https://sao.dolgi.msk.ru/account/1404210607/", 1404210607)</f>
        <v>1404210607</v>
      </c>
      <c r="D12922">
        <v>5133.74</v>
      </c>
    </row>
    <row r="12923" spans="1:4" hidden="1" x14ac:dyDescent="0.25">
      <c r="A12923" t="s">
        <v>713</v>
      </c>
      <c r="B12923" t="s">
        <v>28</v>
      </c>
      <c r="C12923" s="2">
        <f>HYPERLINK("https://sao.dolgi.msk.ru/account/1404210324/", 1404210324)</f>
        <v>1404210324</v>
      </c>
      <c r="D12923">
        <v>0</v>
      </c>
    </row>
    <row r="12924" spans="1:4" hidden="1" x14ac:dyDescent="0.25">
      <c r="A12924" t="s">
        <v>713</v>
      </c>
      <c r="B12924" t="s">
        <v>29</v>
      </c>
      <c r="C12924" s="2">
        <f>HYPERLINK("https://sao.dolgi.msk.ru/account/1404210615/", 1404210615)</f>
        <v>1404210615</v>
      </c>
      <c r="D12924">
        <v>-12009.74</v>
      </c>
    </row>
    <row r="12925" spans="1:4" hidden="1" x14ac:dyDescent="0.25">
      <c r="A12925" t="s">
        <v>713</v>
      </c>
      <c r="B12925" t="s">
        <v>30</v>
      </c>
      <c r="C12925" s="2">
        <f>HYPERLINK("https://sao.dolgi.msk.ru/account/1404211351/", 1404211351)</f>
        <v>1404211351</v>
      </c>
      <c r="D12925">
        <v>-12.07</v>
      </c>
    </row>
    <row r="12926" spans="1:4" hidden="1" x14ac:dyDescent="0.25">
      <c r="A12926" t="s">
        <v>713</v>
      </c>
      <c r="B12926" t="s">
        <v>31</v>
      </c>
      <c r="C12926" s="2">
        <f>HYPERLINK("https://sao.dolgi.msk.ru/account/1404210818/", 1404210818)</f>
        <v>1404210818</v>
      </c>
      <c r="D12926">
        <v>0</v>
      </c>
    </row>
    <row r="12927" spans="1:4" hidden="1" x14ac:dyDescent="0.25">
      <c r="A12927" t="s">
        <v>713</v>
      </c>
      <c r="B12927" t="s">
        <v>32</v>
      </c>
      <c r="C12927" s="2">
        <f>HYPERLINK("https://sao.dolgi.msk.ru/account/1404211415/", 1404211415)</f>
        <v>1404211415</v>
      </c>
      <c r="D12927">
        <v>-6955.79</v>
      </c>
    </row>
    <row r="12928" spans="1:4" x14ac:dyDescent="0.25">
      <c r="A12928" t="s">
        <v>713</v>
      </c>
      <c r="B12928" t="s">
        <v>33</v>
      </c>
      <c r="C12928" s="2">
        <f>HYPERLINK("https://sao.dolgi.msk.ru/account/1404211028/", 1404211028)</f>
        <v>1404211028</v>
      </c>
      <c r="D12928">
        <v>9108.36</v>
      </c>
    </row>
    <row r="12929" spans="1:4" hidden="1" x14ac:dyDescent="0.25">
      <c r="A12929" t="s">
        <v>713</v>
      </c>
      <c r="B12929" t="s">
        <v>34</v>
      </c>
      <c r="C12929" s="2">
        <f>HYPERLINK("https://sao.dolgi.msk.ru/account/1404211044/", 1404211044)</f>
        <v>1404211044</v>
      </c>
      <c r="D12929">
        <v>-5010.83</v>
      </c>
    </row>
    <row r="12930" spans="1:4" hidden="1" x14ac:dyDescent="0.25">
      <c r="A12930" t="s">
        <v>713</v>
      </c>
      <c r="B12930" t="s">
        <v>35</v>
      </c>
      <c r="C12930" s="2">
        <f>HYPERLINK("https://sao.dolgi.msk.ru/account/1404211052/", 1404211052)</f>
        <v>1404211052</v>
      </c>
      <c r="D12930">
        <v>0</v>
      </c>
    </row>
    <row r="12931" spans="1:4" hidden="1" x14ac:dyDescent="0.25">
      <c r="A12931" t="s">
        <v>713</v>
      </c>
      <c r="B12931" t="s">
        <v>36</v>
      </c>
      <c r="C12931" s="2">
        <f>HYPERLINK("https://sao.dolgi.msk.ru/account/1404210826/", 1404210826)</f>
        <v>1404210826</v>
      </c>
      <c r="D12931">
        <v>0</v>
      </c>
    </row>
    <row r="12932" spans="1:4" hidden="1" x14ac:dyDescent="0.25">
      <c r="A12932" t="s">
        <v>713</v>
      </c>
      <c r="B12932" t="s">
        <v>37</v>
      </c>
      <c r="C12932" s="2">
        <f>HYPERLINK("https://sao.dolgi.msk.ru/account/1404210383/", 1404210383)</f>
        <v>1404210383</v>
      </c>
      <c r="D12932">
        <v>-235.69</v>
      </c>
    </row>
    <row r="12933" spans="1:4" hidden="1" x14ac:dyDescent="0.25">
      <c r="A12933" t="s">
        <v>713</v>
      </c>
      <c r="B12933" t="s">
        <v>38</v>
      </c>
      <c r="C12933" s="2">
        <f>HYPERLINK("https://sao.dolgi.msk.ru/account/1404211431/", 1404211431)</f>
        <v>1404211431</v>
      </c>
      <c r="D12933">
        <v>-5829.61</v>
      </c>
    </row>
    <row r="12934" spans="1:4" x14ac:dyDescent="0.25">
      <c r="A12934" t="s">
        <v>713</v>
      </c>
      <c r="B12934" t="s">
        <v>39</v>
      </c>
      <c r="C12934" s="2">
        <f>HYPERLINK("https://sao.dolgi.msk.ru/account/1404211247/", 1404211247)</f>
        <v>1404211247</v>
      </c>
      <c r="D12934">
        <v>7848.44</v>
      </c>
    </row>
    <row r="12935" spans="1:4" hidden="1" x14ac:dyDescent="0.25">
      <c r="A12935" t="s">
        <v>713</v>
      </c>
      <c r="B12935" t="s">
        <v>40</v>
      </c>
      <c r="C12935" s="2">
        <f>HYPERLINK("https://sao.dolgi.msk.ru/account/1404210527/", 1404210527)</f>
        <v>1404210527</v>
      </c>
      <c r="D12935">
        <v>-7054.96</v>
      </c>
    </row>
    <row r="12936" spans="1:4" hidden="1" x14ac:dyDescent="0.25">
      <c r="A12936" t="s">
        <v>713</v>
      </c>
      <c r="B12936" t="s">
        <v>41</v>
      </c>
      <c r="C12936" s="2">
        <f>HYPERLINK("https://sao.dolgi.msk.ru/account/1404210391/", 1404210391)</f>
        <v>1404210391</v>
      </c>
      <c r="D12936">
        <v>-5554.64</v>
      </c>
    </row>
    <row r="12937" spans="1:4" hidden="1" x14ac:dyDescent="0.25">
      <c r="A12937" t="s">
        <v>713</v>
      </c>
      <c r="B12937" t="s">
        <v>42</v>
      </c>
      <c r="C12937" s="2">
        <f>HYPERLINK("https://sao.dolgi.msk.ru/account/1404211458/", 1404211458)</f>
        <v>1404211458</v>
      </c>
      <c r="D12937">
        <v>-4268.4399999999996</v>
      </c>
    </row>
    <row r="12938" spans="1:4" hidden="1" x14ac:dyDescent="0.25">
      <c r="A12938" t="s">
        <v>713</v>
      </c>
      <c r="B12938" t="s">
        <v>43</v>
      </c>
      <c r="C12938" s="2">
        <f>HYPERLINK("https://sao.dolgi.msk.ru/account/1404211255/", 1404211255)</f>
        <v>1404211255</v>
      </c>
      <c r="D12938">
        <v>0</v>
      </c>
    </row>
    <row r="12939" spans="1:4" hidden="1" x14ac:dyDescent="0.25">
      <c r="A12939" t="s">
        <v>713</v>
      </c>
      <c r="B12939" t="s">
        <v>44</v>
      </c>
      <c r="C12939" s="2">
        <f>HYPERLINK("https://sao.dolgi.msk.ru/account/1404210877/", 1404210877)</f>
        <v>1404210877</v>
      </c>
      <c r="D12939">
        <v>-4805.46</v>
      </c>
    </row>
    <row r="12940" spans="1:4" hidden="1" x14ac:dyDescent="0.25">
      <c r="A12940" t="s">
        <v>713</v>
      </c>
      <c r="B12940" t="s">
        <v>45</v>
      </c>
      <c r="C12940" s="2">
        <f>HYPERLINK("https://sao.dolgi.msk.ru/account/1404210404/", 1404210404)</f>
        <v>1404210404</v>
      </c>
      <c r="D12940">
        <v>-5538.87</v>
      </c>
    </row>
    <row r="12941" spans="1:4" hidden="1" x14ac:dyDescent="0.25">
      <c r="A12941" t="s">
        <v>713</v>
      </c>
      <c r="B12941" t="s">
        <v>46</v>
      </c>
      <c r="C12941" s="2">
        <f>HYPERLINK("https://sao.dolgi.msk.ru/account/1404211263/", 1404211263)</f>
        <v>1404211263</v>
      </c>
      <c r="D12941">
        <v>-10002.93</v>
      </c>
    </row>
    <row r="12942" spans="1:4" x14ac:dyDescent="0.25">
      <c r="A12942" t="s">
        <v>713</v>
      </c>
      <c r="B12942" t="s">
        <v>47</v>
      </c>
      <c r="C12942" s="2">
        <f>HYPERLINK("https://sao.dolgi.msk.ru/account/1404210666/", 1404210666)</f>
        <v>1404210666</v>
      </c>
      <c r="D12942">
        <v>13549.56</v>
      </c>
    </row>
    <row r="12943" spans="1:4" hidden="1" x14ac:dyDescent="0.25">
      <c r="A12943" t="s">
        <v>713</v>
      </c>
      <c r="B12943" t="s">
        <v>48</v>
      </c>
      <c r="C12943" s="2">
        <f>HYPERLINK("https://sao.dolgi.msk.ru/account/1404210885/", 1404210885)</f>
        <v>1404210885</v>
      </c>
      <c r="D12943">
        <v>0</v>
      </c>
    </row>
    <row r="12944" spans="1:4" hidden="1" x14ac:dyDescent="0.25">
      <c r="A12944" t="s">
        <v>713</v>
      </c>
      <c r="B12944" t="s">
        <v>49</v>
      </c>
      <c r="C12944" s="2">
        <f>HYPERLINK("https://sao.dolgi.msk.ru/account/1404210412/", 1404210412)</f>
        <v>1404210412</v>
      </c>
      <c r="D12944">
        <v>-6146.46</v>
      </c>
    </row>
    <row r="12945" spans="1:4" hidden="1" x14ac:dyDescent="0.25">
      <c r="A12945" t="s">
        <v>713</v>
      </c>
      <c r="B12945" t="s">
        <v>50</v>
      </c>
      <c r="C12945" s="2">
        <f>HYPERLINK("https://sao.dolgi.msk.ru/account/1404211394/", 1404211394)</f>
        <v>1404211394</v>
      </c>
      <c r="D12945">
        <v>-5207.75</v>
      </c>
    </row>
    <row r="12946" spans="1:4" hidden="1" x14ac:dyDescent="0.25">
      <c r="A12946" t="s">
        <v>713</v>
      </c>
      <c r="B12946" t="s">
        <v>51</v>
      </c>
      <c r="C12946" s="2">
        <f>HYPERLINK("https://sao.dolgi.msk.ru/account/1404211466/", 1404211466)</f>
        <v>1404211466</v>
      </c>
      <c r="D12946">
        <v>-359.72</v>
      </c>
    </row>
    <row r="12947" spans="1:4" hidden="1" x14ac:dyDescent="0.25">
      <c r="A12947" t="s">
        <v>713</v>
      </c>
      <c r="B12947" t="s">
        <v>52</v>
      </c>
      <c r="C12947" s="2">
        <f>HYPERLINK("https://sao.dolgi.msk.ru/account/1404210893/", 1404210893)</f>
        <v>1404210893</v>
      </c>
      <c r="D12947">
        <v>-6545.36</v>
      </c>
    </row>
    <row r="12948" spans="1:4" hidden="1" x14ac:dyDescent="0.25">
      <c r="A12948" t="s">
        <v>713</v>
      </c>
      <c r="B12948" t="s">
        <v>53</v>
      </c>
      <c r="C12948" s="2">
        <f>HYPERLINK("https://sao.dolgi.msk.ru/account/1404210906/", 1404210906)</f>
        <v>1404210906</v>
      </c>
      <c r="D12948">
        <v>0</v>
      </c>
    </row>
    <row r="12949" spans="1:4" hidden="1" x14ac:dyDescent="0.25">
      <c r="A12949" t="s">
        <v>713</v>
      </c>
      <c r="B12949" t="s">
        <v>54</v>
      </c>
      <c r="C12949" s="2">
        <f>HYPERLINK("https://sao.dolgi.msk.ru/account/1404210439/", 1404210439)</f>
        <v>1404210439</v>
      </c>
      <c r="D12949">
        <v>0</v>
      </c>
    </row>
    <row r="12950" spans="1:4" hidden="1" x14ac:dyDescent="0.25">
      <c r="A12950" t="s">
        <v>713</v>
      </c>
      <c r="B12950" t="s">
        <v>55</v>
      </c>
      <c r="C12950" s="2">
        <f>HYPERLINK("https://sao.dolgi.msk.ru/account/1404210914/", 1404210914)</f>
        <v>1404210914</v>
      </c>
      <c r="D12950">
        <v>0</v>
      </c>
    </row>
    <row r="12951" spans="1:4" hidden="1" x14ac:dyDescent="0.25">
      <c r="A12951" t="s">
        <v>713</v>
      </c>
      <c r="B12951" t="s">
        <v>56</v>
      </c>
      <c r="C12951" s="2">
        <f>HYPERLINK("https://sao.dolgi.msk.ru/account/1404211271/", 1404211271)</f>
        <v>1404211271</v>
      </c>
      <c r="D12951">
        <v>0</v>
      </c>
    </row>
    <row r="12952" spans="1:4" hidden="1" x14ac:dyDescent="0.25">
      <c r="A12952" t="s">
        <v>713</v>
      </c>
      <c r="B12952" t="s">
        <v>57</v>
      </c>
      <c r="C12952" s="2">
        <f>HYPERLINK("https://sao.dolgi.msk.ru/account/1404211474/", 1404211474)</f>
        <v>1404211474</v>
      </c>
      <c r="D12952">
        <v>0</v>
      </c>
    </row>
    <row r="12953" spans="1:4" hidden="1" x14ac:dyDescent="0.25">
      <c r="A12953" t="s">
        <v>713</v>
      </c>
      <c r="B12953" t="s">
        <v>58</v>
      </c>
      <c r="C12953" s="2">
        <f>HYPERLINK("https://sao.dolgi.msk.ru/account/1404211319/", 1404211319)</f>
        <v>1404211319</v>
      </c>
      <c r="D12953">
        <v>-9581.76</v>
      </c>
    </row>
    <row r="12954" spans="1:4" hidden="1" x14ac:dyDescent="0.25">
      <c r="A12954" t="s">
        <v>713</v>
      </c>
      <c r="B12954" t="s">
        <v>59</v>
      </c>
      <c r="C12954" s="2">
        <f>HYPERLINK("https://sao.dolgi.msk.ru/account/1404211212/", 1404211212)</f>
        <v>1404211212</v>
      </c>
      <c r="D12954">
        <v>0</v>
      </c>
    </row>
    <row r="12955" spans="1:4" hidden="1" x14ac:dyDescent="0.25">
      <c r="A12955" t="s">
        <v>713</v>
      </c>
      <c r="B12955" t="s">
        <v>60</v>
      </c>
      <c r="C12955" s="2">
        <f>HYPERLINK("https://sao.dolgi.msk.ru/account/1404211239/", 1404211239)</f>
        <v>1404211239</v>
      </c>
      <c r="D12955">
        <v>-3575.56</v>
      </c>
    </row>
    <row r="12956" spans="1:4" hidden="1" x14ac:dyDescent="0.25">
      <c r="A12956" t="s">
        <v>713</v>
      </c>
      <c r="B12956" t="s">
        <v>61</v>
      </c>
      <c r="C12956" s="2">
        <f>HYPERLINK("https://sao.dolgi.msk.ru/account/1404210834/", 1404210834)</f>
        <v>1404210834</v>
      </c>
      <c r="D12956">
        <v>-4815.3</v>
      </c>
    </row>
    <row r="12957" spans="1:4" hidden="1" x14ac:dyDescent="0.25">
      <c r="A12957" t="s">
        <v>713</v>
      </c>
      <c r="B12957" t="s">
        <v>62</v>
      </c>
      <c r="C12957" s="2">
        <f>HYPERLINK("https://sao.dolgi.msk.ru/account/1404211108/", 1404211108)</f>
        <v>1404211108</v>
      </c>
      <c r="D12957">
        <v>0</v>
      </c>
    </row>
    <row r="12958" spans="1:4" hidden="1" x14ac:dyDescent="0.25">
      <c r="A12958" t="s">
        <v>713</v>
      </c>
      <c r="B12958" t="s">
        <v>63</v>
      </c>
      <c r="C12958" s="2">
        <f>HYPERLINK("https://sao.dolgi.msk.ru/account/1404211423/", 1404211423)</f>
        <v>1404211423</v>
      </c>
      <c r="D12958">
        <v>0</v>
      </c>
    </row>
    <row r="12959" spans="1:4" hidden="1" x14ac:dyDescent="0.25">
      <c r="A12959" t="s">
        <v>713</v>
      </c>
      <c r="B12959" t="s">
        <v>64</v>
      </c>
      <c r="C12959" s="2">
        <f>HYPERLINK("https://sao.dolgi.msk.ru/account/1404210631/", 1404210631)</f>
        <v>1404210631</v>
      </c>
      <c r="D12959">
        <v>-5878.23</v>
      </c>
    </row>
    <row r="12960" spans="1:4" hidden="1" x14ac:dyDescent="0.25">
      <c r="A12960" t="s">
        <v>713</v>
      </c>
      <c r="B12960" t="s">
        <v>65</v>
      </c>
      <c r="C12960" s="2">
        <f>HYPERLINK("https://sao.dolgi.msk.ru/account/1404210367/", 1404210367)</f>
        <v>1404210367</v>
      </c>
      <c r="D12960">
        <v>-7632.49</v>
      </c>
    </row>
    <row r="12961" spans="1:4" hidden="1" x14ac:dyDescent="0.25">
      <c r="A12961" t="s">
        <v>713</v>
      </c>
      <c r="B12961" t="s">
        <v>66</v>
      </c>
      <c r="C12961" s="2">
        <f>HYPERLINK("https://sao.dolgi.msk.ru/account/1404211386/", 1404211386)</f>
        <v>1404211386</v>
      </c>
      <c r="D12961">
        <v>-3323.8</v>
      </c>
    </row>
    <row r="12962" spans="1:4" x14ac:dyDescent="0.25">
      <c r="A12962" t="s">
        <v>713</v>
      </c>
      <c r="B12962" t="s">
        <v>67</v>
      </c>
      <c r="C12962" s="2">
        <f>HYPERLINK("https://sao.dolgi.msk.ru/account/1404210658/", 1404210658)</f>
        <v>1404210658</v>
      </c>
      <c r="D12962">
        <v>15267.9</v>
      </c>
    </row>
    <row r="12963" spans="1:4" hidden="1" x14ac:dyDescent="0.25">
      <c r="A12963" t="s">
        <v>713</v>
      </c>
      <c r="B12963" t="s">
        <v>68</v>
      </c>
      <c r="C12963" s="2">
        <f>HYPERLINK("https://sao.dolgi.msk.ru/account/1404211116/", 1404211116)</f>
        <v>1404211116</v>
      </c>
      <c r="D12963">
        <v>-1882.64</v>
      </c>
    </row>
    <row r="12964" spans="1:4" hidden="1" x14ac:dyDescent="0.25">
      <c r="A12964" t="s">
        <v>713</v>
      </c>
      <c r="B12964" t="s">
        <v>69</v>
      </c>
      <c r="C12964" s="2">
        <f>HYPERLINK("https://sao.dolgi.msk.ru/account/1404210762/", 1404210762)</f>
        <v>1404210762</v>
      </c>
      <c r="D12964">
        <v>-5596.67</v>
      </c>
    </row>
    <row r="12965" spans="1:4" hidden="1" x14ac:dyDescent="0.25">
      <c r="A12965" t="s">
        <v>713</v>
      </c>
      <c r="B12965" t="s">
        <v>70</v>
      </c>
      <c r="C12965" s="2">
        <f>HYPERLINK("https://sao.dolgi.msk.ru/account/1404210535/", 1404210535)</f>
        <v>1404210535</v>
      </c>
      <c r="D12965">
        <v>0</v>
      </c>
    </row>
    <row r="12966" spans="1:4" hidden="1" x14ac:dyDescent="0.25">
      <c r="A12966" t="s">
        <v>713</v>
      </c>
      <c r="B12966" t="s">
        <v>71</v>
      </c>
      <c r="C12966" s="2">
        <f>HYPERLINK("https://sao.dolgi.msk.ru/account/1404210543/", 1404210543)</f>
        <v>1404210543</v>
      </c>
      <c r="D12966">
        <v>0</v>
      </c>
    </row>
    <row r="12967" spans="1:4" hidden="1" x14ac:dyDescent="0.25">
      <c r="A12967" t="s">
        <v>713</v>
      </c>
      <c r="B12967" t="s">
        <v>72</v>
      </c>
      <c r="C12967" s="2">
        <f>HYPERLINK("https://sao.dolgi.msk.ru/account/1404210455/", 1404210455)</f>
        <v>1404210455</v>
      </c>
      <c r="D12967">
        <v>-2808.57</v>
      </c>
    </row>
    <row r="12968" spans="1:4" x14ac:dyDescent="0.25">
      <c r="A12968" t="s">
        <v>713</v>
      </c>
      <c r="B12968" t="s">
        <v>73</v>
      </c>
      <c r="C12968" s="2">
        <f>HYPERLINK("https://sao.dolgi.msk.ru/account/1404210551/", 1404210551)</f>
        <v>1404210551</v>
      </c>
      <c r="D12968">
        <v>36159.94</v>
      </c>
    </row>
    <row r="12969" spans="1:4" hidden="1" x14ac:dyDescent="0.25">
      <c r="A12969" t="s">
        <v>713</v>
      </c>
      <c r="B12969" t="s">
        <v>74</v>
      </c>
      <c r="C12969" s="2">
        <f>HYPERLINK("https://sao.dolgi.msk.ru/account/1404210578/", 1404210578)</f>
        <v>1404210578</v>
      </c>
      <c r="D12969">
        <v>0</v>
      </c>
    </row>
    <row r="12970" spans="1:4" hidden="1" x14ac:dyDescent="0.25">
      <c r="A12970" t="s">
        <v>713</v>
      </c>
      <c r="B12970" t="s">
        <v>75</v>
      </c>
      <c r="C12970" s="2">
        <f>HYPERLINK("https://sao.dolgi.msk.ru/account/1404210957/", 1404210957)</f>
        <v>1404210957</v>
      </c>
      <c r="D12970">
        <v>0</v>
      </c>
    </row>
    <row r="12971" spans="1:4" hidden="1" x14ac:dyDescent="0.25">
      <c r="A12971" t="s">
        <v>713</v>
      </c>
      <c r="B12971" t="s">
        <v>76</v>
      </c>
      <c r="C12971" s="2">
        <f>HYPERLINK("https://sao.dolgi.msk.ru/account/1404210965/", 1404210965)</f>
        <v>1404210965</v>
      </c>
      <c r="D12971">
        <v>0</v>
      </c>
    </row>
    <row r="12972" spans="1:4" x14ac:dyDescent="0.25">
      <c r="A12972" t="s">
        <v>713</v>
      </c>
      <c r="B12972" t="s">
        <v>77</v>
      </c>
      <c r="C12972" s="2">
        <f>HYPERLINK("https://sao.dolgi.msk.ru/account/1404210471/", 1404210471)</f>
        <v>1404210471</v>
      </c>
      <c r="D12972">
        <v>3622.3</v>
      </c>
    </row>
    <row r="12973" spans="1:4" x14ac:dyDescent="0.25">
      <c r="A12973" t="s">
        <v>713</v>
      </c>
      <c r="B12973" t="s">
        <v>78</v>
      </c>
      <c r="C12973" s="2">
        <f>HYPERLINK("https://sao.dolgi.msk.ru/account/1404210789/", 1404210789)</f>
        <v>1404210789</v>
      </c>
      <c r="D12973">
        <v>1517.67</v>
      </c>
    </row>
    <row r="12974" spans="1:4" hidden="1" x14ac:dyDescent="0.25">
      <c r="A12974" t="s">
        <v>713</v>
      </c>
      <c r="B12974" t="s">
        <v>79</v>
      </c>
      <c r="C12974" s="2">
        <f>HYPERLINK("https://sao.dolgi.msk.ru/account/1404210746/", 1404210746)</f>
        <v>1404210746</v>
      </c>
      <c r="D12974">
        <v>0</v>
      </c>
    </row>
    <row r="12975" spans="1:4" hidden="1" x14ac:dyDescent="0.25">
      <c r="A12975" t="s">
        <v>713</v>
      </c>
      <c r="B12975" t="s">
        <v>80</v>
      </c>
      <c r="C12975" s="2">
        <f>HYPERLINK("https://sao.dolgi.msk.ru/account/1404211407/", 1404211407)</f>
        <v>1404211407</v>
      </c>
      <c r="D12975">
        <v>0</v>
      </c>
    </row>
    <row r="12976" spans="1:4" x14ac:dyDescent="0.25">
      <c r="A12976" t="s">
        <v>713</v>
      </c>
      <c r="B12976" t="s">
        <v>81</v>
      </c>
      <c r="C12976" s="2">
        <f>HYPERLINK("https://sao.dolgi.msk.ru/account/1404211167/", 1404211167)</f>
        <v>1404211167</v>
      </c>
      <c r="D12976">
        <v>3773.02</v>
      </c>
    </row>
    <row r="12977" spans="1:4" hidden="1" x14ac:dyDescent="0.25">
      <c r="A12977" t="s">
        <v>713</v>
      </c>
      <c r="B12977" t="s">
        <v>82</v>
      </c>
      <c r="C12977" s="2">
        <f>HYPERLINK("https://sao.dolgi.msk.ru/account/1404211335/", 1404211335)</f>
        <v>1404211335</v>
      </c>
      <c r="D12977">
        <v>-9485.15</v>
      </c>
    </row>
    <row r="12978" spans="1:4" hidden="1" x14ac:dyDescent="0.25">
      <c r="A12978" t="s">
        <v>713</v>
      </c>
      <c r="B12978" t="s">
        <v>83</v>
      </c>
      <c r="C12978" s="2">
        <f>HYPERLINK("https://sao.dolgi.msk.ru/account/1404210754/", 1404210754)</f>
        <v>1404210754</v>
      </c>
      <c r="D12978">
        <v>-5502.58</v>
      </c>
    </row>
    <row r="12979" spans="1:4" hidden="1" x14ac:dyDescent="0.25">
      <c r="A12979" t="s">
        <v>713</v>
      </c>
      <c r="B12979" t="s">
        <v>84</v>
      </c>
      <c r="C12979" s="2">
        <f>HYPERLINK("https://sao.dolgi.msk.ru/account/1404211175/", 1404211175)</f>
        <v>1404211175</v>
      </c>
      <c r="D12979">
        <v>0</v>
      </c>
    </row>
    <row r="12980" spans="1:4" hidden="1" x14ac:dyDescent="0.25">
      <c r="A12980" t="s">
        <v>713</v>
      </c>
      <c r="B12980" t="s">
        <v>85</v>
      </c>
      <c r="C12980" s="2">
        <f>HYPERLINK("https://sao.dolgi.msk.ru/account/1404210981/", 1404210981)</f>
        <v>1404210981</v>
      </c>
      <c r="D12980">
        <v>-9780.7099999999991</v>
      </c>
    </row>
    <row r="12981" spans="1:4" x14ac:dyDescent="0.25">
      <c r="A12981" t="s">
        <v>713</v>
      </c>
      <c r="B12981" t="s">
        <v>86</v>
      </c>
      <c r="C12981" s="2">
        <f>HYPERLINK("https://sao.dolgi.msk.ru/account/1404210586/", 1404210586)</f>
        <v>1404210586</v>
      </c>
      <c r="D12981">
        <v>19476.25</v>
      </c>
    </row>
    <row r="12982" spans="1:4" hidden="1" x14ac:dyDescent="0.25">
      <c r="A12982" t="s">
        <v>713</v>
      </c>
      <c r="B12982" t="s">
        <v>87</v>
      </c>
      <c r="C12982" s="2">
        <f>HYPERLINK("https://sao.dolgi.msk.ru/account/1404211183/", 1404211183)</f>
        <v>1404211183</v>
      </c>
      <c r="D12982">
        <v>-5854.15</v>
      </c>
    </row>
    <row r="12983" spans="1:4" x14ac:dyDescent="0.25">
      <c r="A12983" t="s">
        <v>713</v>
      </c>
      <c r="B12983" t="s">
        <v>88</v>
      </c>
      <c r="C12983" s="2">
        <f>HYPERLINK("https://sao.dolgi.msk.ru/account/1404211079/", 1404211079)</f>
        <v>1404211079</v>
      </c>
      <c r="D12983">
        <v>57368.639999999999</v>
      </c>
    </row>
    <row r="12984" spans="1:4" hidden="1" x14ac:dyDescent="0.25">
      <c r="A12984" t="s">
        <v>713</v>
      </c>
      <c r="B12984" t="s">
        <v>89</v>
      </c>
      <c r="C12984" s="2">
        <f>HYPERLINK("https://sao.dolgi.msk.ru/account/1404210498/", 1404210498)</f>
        <v>1404210498</v>
      </c>
      <c r="D12984">
        <v>-4492.34</v>
      </c>
    </row>
    <row r="12985" spans="1:4" hidden="1" x14ac:dyDescent="0.25">
      <c r="A12985" t="s">
        <v>713</v>
      </c>
      <c r="B12985" t="s">
        <v>90</v>
      </c>
      <c r="C12985" s="2">
        <f>HYPERLINK("https://sao.dolgi.msk.ru/account/1404211191/", 1404211191)</f>
        <v>1404211191</v>
      </c>
      <c r="D12985">
        <v>-7411.63</v>
      </c>
    </row>
    <row r="12986" spans="1:4" hidden="1" x14ac:dyDescent="0.25">
      <c r="A12986" t="s">
        <v>713</v>
      </c>
      <c r="B12986" t="s">
        <v>91</v>
      </c>
      <c r="C12986" s="2">
        <f>HYPERLINK("https://sao.dolgi.msk.ru/account/1404210519/", 1404210519)</f>
        <v>1404210519</v>
      </c>
      <c r="D12986">
        <v>0</v>
      </c>
    </row>
    <row r="12987" spans="1:4" hidden="1" x14ac:dyDescent="0.25">
      <c r="A12987" t="s">
        <v>713</v>
      </c>
      <c r="B12987" t="s">
        <v>92</v>
      </c>
      <c r="C12987" s="2">
        <f>HYPERLINK("https://sao.dolgi.msk.ru/account/1404210332/", 1404210332)</f>
        <v>1404210332</v>
      </c>
      <c r="D12987">
        <v>0</v>
      </c>
    </row>
    <row r="12988" spans="1:4" hidden="1" x14ac:dyDescent="0.25">
      <c r="A12988" t="s">
        <v>713</v>
      </c>
      <c r="B12988" t="s">
        <v>93</v>
      </c>
      <c r="C12988" s="2">
        <f>HYPERLINK("https://sao.dolgi.msk.ru/account/1404211204/", 1404211204)</f>
        <v>1404211204</v>
      </c>
      <c r="D12988">
        <v>-7860.52</v>
      </c>
    </row>
    <row r="12989" spans="1:4" hidden="1" x14ac:dyDescent="0.25">
      <c r="A12989" t="s">
        <v>713</v>
      </c>
      <c r="B12989" t="s">
        <v>94</v>
      </c>
      <c r="C12989" s="2">
        <f>HYPERLINK("https://sao.dolgi.msk.ru/account/1404211378/", 1404211378)</f>
        <v>1404211378</v>
      </c>
      <c r="D12989">
        <v>-11088.4</v>
      </c>
    </row>
    <row r="12990" spans="1:4" hidden="1" x14ac:dyDescent="0.25">
      <c r="A12990" t="s">
        <v>713</v>
      </c>
      <c r="B12990" t="s">
        <v>95</v>
      </c>
      <c r="C12990" s="2">
        <f>HYPERLINK("https://sao.dolgi.msk.ru/account/1404211095/", 1404211095)</f>
        <v>1404211095</v>
      </c>
      <c r="D12990">
        <v>-10903.37</v>
      </c>
    </row>
    <row r="12991" spans="1:4" hidden="1" x14ac:dyDescent="0.25">
      <c r="A12991" t="s">
        <v>713</v>
      </c>
      <c r="B12991" t="s">
        <v>96</v>
      </c>
      <c r="C12991" s="2">
        <f>HYPERLINK("https://sao.dolgi.msk.ru/account/1404210359/", 1404210359)</f>
        <v>1404210359</v>
      </c>
      <c r="D12991">
        <v>0</v>
      </c>
    </row>
    <row r="12992" spans="1:4" hidden="1" x14ac:dyDescent="0.25">
      <c r="A12992" t="s">
        <v>713</v>
      </c>
      <c r="B12992" t="s">
        <v>97</v>
      </c>
      <c r="C12992" s="2">
        <f>HYPERLINK("https://sao.dolgi.msk.ru/account/1404210623/", 1404210623)</f>
        <v>1404210623</v>
      </c>
      <c r="D12992">
        <v>-11727.36</v>
      </c>
    </row>
    <row r="12993" spans="1:4" hidden="1" x14ac:dyDescent="0.25">
      <c r="A12993" t="s">
        <v>713</v>
      </c>
      <c r="B12993" t="s">
        <v>98</v>
      </c>
      <c r="C12993" s="2">
        <f>HYPERLINK("https://sao.dolgi.msk.ru/account/1404210869/", 1404210869)</f>
        <v>1404210869</v>
      </c>
      <c r="D12993">
        <v>-6606.05</v>
      </c>
    </row>
    <row r="12994" spans="1:4" hidden="1" x14ac:dyDescent="0.25">
      <c r="A12994" t="s">
        <v>713</v>
      </c>
      <c r="B12994" t="s">
        <v>99</v>
      </c>
      <c r="C12994" s="2">
        <f>HYPERLINK("https://sao.dolgi.msk.ru/account/1404210375/", 1404210375)</f>
        <v>1404210375</v>
      </c>
      <c r="D12994">
        <v>-4021.33</v>
      </c>
    </row>
    <row r="12995" spans="1:4" hidden="1" x14ac:dyDescent="0.25">
      <c r="A12995" t="s">
        <v>713</v>
      </c>
      <c r="B12995" t="s">
        <v>100</v>
      </c>
      <c r="C12995" s="2">
        <f>HYPERLINK("https://sao.dolgi.msk.ru/account/1404211124/", 1404211124)</f>
        <v>1404211124</v>
      </c>
      <c r="D12995">
        <v>0</v>
      </c>
    </row>
    <row r="12996" spans="1:4" hidden="1" x14ac:dyDescent="0.25">
      <c r="A12996" t="s">
        <v>714</v>
      </c>
      <c r="B12996" t="s">
        <v>5</v>
      </c>
      <c r="C12996" s="2">
        <f>HYPERLINK("https://sao.dolgi.msk.ru/account/1404212725/", 1404212725)</f>
        <v>1404212725</v>
      </c>
      <c r="D12996">
        <v>-6720</v>
      </c>
    </row>
    <row r="12997" spans="1:4" x14ac:dyDescent="0.25">
      <c r="A12997" t="s">
        <v>714</v>
      </c>
      <c r="B12997" t="s">
        <v>6</v>
      </c>
      <c r="C12997" s="2">
        <f>HYPERLINK("https://sao.dolgi.msk.ru/account/1404211618/", 1404211618)</f>
        <v>1404211618</v>
      </c>
      <c r="D12997">
        <v>21527</v>
      </c>
    </row>
    <row r="12998" spans="1:4" hidden="1" x14ac:dyDescent="0.25">
      <c r="A12998" t="s">
        <v>714</v>
      </c>
      <c r="B12998" t="s">
        <v>7</v>
      </c>
      <c r="C12998" s="2">
        <f>HYPERLINK("https://sao.dolgi.msk.ru/account/1404211802/", 1404211802)</f>
        <v>1404211802</v>
      </c>
      <c r="D12998">
        <v>0</v>
      </c>
    </row>
    <row r="12999" spans="1:4" hidden="1" x14ac:dyDescent="0.25">
      <c r="A12999" t="s">
        <v>714</v>
      </c>
      <c r="B12999" t="s">
        <v>8</v>
      </c>
      <c r="C12999" s="2">
        <f>HYPERLINK("https://sao.dolgi.msk.ru/account/1404212231/", 1404212231)</f>
        <v>1404212231</v>
      </c>
      <c r="D12999">
        <v>-7154.94</v>
      </c>
    </row>
    <row r="13000" spans="1:4" x14ac:dyDescent="0.25">
      <c r="A13000" t="s">
        <v>714</v>
      </c>
      <c r="B13000" t="s">
        <v>9</v>
      </c>
      <c r="C13000" s="2">
        <f>HYPERLINK("https://sao.dolgi.msk.ru/account/1404212178/", 1404212178)</f>
        <v>1404212178</v>
      </c>
      <c r="D13000">
        <v>2257.86</v>
      </c>
    </row>
    <row r="13001" spans="1:4" hidden="1" x14ac:dyDescent="0.25">
      <c r="A13001" t="s">
        <v>714</v>
      </c>
      <c r="B13001" t="s">
        <v>10</v>
      </c>
      <c r="C13001" s="2">
        <f>HYPERLINK("https://sao.dolgi.msk.ru/account/1404212047/", 1404212047)</f>
        <v>1404212047</v>
      </c>
      <c r="D13001">
        <v>-5150.45</v>
      </c>
    </row>
    <row r="13002" spans="1:4" hidden="1" x14ac:dyDescent="0.25">
      <c r="A13002" t="s">
        <v>714</v>
      </c>
      <c r="B13002" t="s">
        <v>11</v>
      </c>
      <c r="C13002" s="2">
        <f>HYPERLINK("https://sao.dolgi.msk.ru/account/1404212063/", 1404212063)</f>
        <v>1404212063</v>
      </c>
      <c r="D13002">
        <v>0</v>
      </c>
    </row>
    <row r="13003" spans="1:4" hidden="1" x14ac:dyDescent="0.25">
      <c r="A13003" t="s">
        <v>714</v>
      </c>
      <c r="B13003" t="s">
        <v>12</v>
      </c>
      <c r="C13003" s="2">
        <f>HYPERLINK("https://sao.dolgi.msk.ru/account/1404212709/", 1404212709)</f>
        <v>1404212709</v>
      </c>
      <c r="D13003">
        <v>-7324.57</v>
      </c>
    </row>
    <row r="13004" spans="1:4" hidden="1" x14ac:dyDescent="0.25">
      <c r="A13004" t="s">
        <v>714</v>
      </c>
      <c r="B13004" t="s">
        <v>13</v>
      </c>
      <c r="C13004" s="2">
        <f>HYPERLINK("https://sao.dolgi.msk.ru/account/1404212389/", 1404212389)</f>
        <v>1404212389</v>
      </c>
      <c r="D13004">
        <v>-3378.2</v>
      </c>
    </row>
    <row r="13005" spans="1:4" hidden="1" x14ac:dyDescent="0.25">
      <c r="A13005" t="s">
        <v>714</v>
      </c>
      <c r="B13005" t="s">
        <v>14</v>
      </c>
      <c r="C13005" s="2">
        <f>HYPERLINK("https://sao.dolgi.msk.ru/account/1404212565/", 1404212565)</f>
        <v>1404212565</v>
      </c>
      <c r="D13005">
        <v>-6264.02</v>
      </c>
    </row>
    <row r="13006" spans="1:4" x14ac:dyDescent="0.25">
      <c r="A13006" t="s">
        <v>714</v>
      </c>
      <c r="B13006" t="s">
        <v>15</v>
      </c>
      <c r="C13006" s="2">
        <f>HYPERLINK("https://sao.dolgi.msk.ru/account/1404211562/", 1404211562)</f>
        <v>1404211562</v>
      </c>
      <c r="D13006">
        <v>17269.099999999999</v>
      </c>
    </row>
    <row r="13007" spans="1:4" x14ac:dyDescent="0.25">
      <c r="A13007" t="s">
        <v>714</v>
      </c>
      <c r="B13007" t="s">
        <v>16</v>
      </c>
      <c r="C13007" s="2">
        <f>HYPERLINK("https://sao.dolgi.msk.ru/account/1404211589/", 1404211589)</f>
        <v>1404211589</v>
      </c>
      <c r="D13007">
        <v>15450.64</v>
      </c>
    </row>
    <row r="13008" spans="1:4" x14ac:dyDescent="0.25">
      <c r="A13008" t="s">
        <v>714</v>
      </c>
      <c r="B13008" t="s">
        <v>17</v>
      </c>
      <c r="C13008" s="2">
        <f>HYPERLINK("https://sao.dolgi.msk.ru/account/1404212258/", 1404212258)</f>
        <v>1404212258</v>
      </c>
      <c r="D13008">
        <v>4920.3</v>
      </c>
    </row>
    <row r="13009" spans="1:4" x14ac:dyDescent="0.25">
      <c r="A13009" t="s">
        <v>714</v>
      </c>
      <c r="B13009" t="s">
        <v>18</v>
      </c>
      <c r="C13009" s="2">
        <f>HYPERLINK("https://sao.dolgi.msk.ru/account/1404212426/", 1404212426)</f>
        <v>1404212426</v>
      </c>
      <c r="D13009">
        <v>24793.33</v>
      </c>
    </row>
    <row r="13010" spans="1:4" x14ac:dyDescent="0.25">
      <c r="A13010" t="s">
        <v>714</v>
      </c>
      <c r="B13010" t="s">
        <v>19</v>
      </c>
      <c r="C13010" s="2">
        <f>HYPERLINK("https://sao.dolgi.msk.ru/account/1404212434/", 1404212434)</f>
        <v>1404212434</v>
      </c>
      <c r="D13010">
        <v>2769.48</v>
      </c>
    </row>
    <row r="13011" spans="1:4" hidden="1" x14ac:dyDescent="0.25">
      <c r="A13011" t="s">
        <v>714</v>
      </c>
      <c r="B13011" t="s">
        <v>20</v>
      </c>
      <c r="C13011" s="2">
        <f>HYPERLINK("https://sao.dolgi.msk.ru/account/1404212266/", 1404212266)</f>
        <v>1404212266</v>
      </c>
      <c r="D13011">
        <v>-9872.64</v>
      </c>
    </row>
    <row r="13012" spans="1:4" hidden="1" x14ac:dyDescent="0.25">
      <c r="A13012" t="s">
        <v>714</v>
      </c>
      <c r="B13012" t="s">
        <v>21</v>
      </c>
      <c r="C13012" s="2">
        <f>HYPERLINK("https://sao.dolgi.msk.ru/account/1404211597/", 1404211597)</f>
        <v>1404211597</v>
      </c>
      <c r="D13012">
        <v>-3459.5</v>
      </c>
    </row>
    <row r="13013" spans="1:4" x14ac:dyDescent="0.25">
      <c r="A13013" t="s">
        <v>714</v>
      </c>
      <c r="B13013" t="s">
        <v>22</v>
      </c>
      <c r="C13013" s="2">
        <f>HYPERLINK("https://sao.dolgi.msk.ru/account/1404211773/", 1404211773)</f>
        <v>1404211773</v>
      </c>
      <c r="D13013">
        <v>19509.41</v>
      </c>
    </row>
    <row r="13014" spans="1:4" x14ac:dyDescent="0.25">
      <c r="A13014" t="s">
        <v>714</v>
      </c>
      <c r="B13014" t="s">
        <v>23</v>
      </c>
      <c r="C13014" s="2">
        <f>HYPERLINK("https://sao.dolgi.msk.ru/account/1404211976/", 1404211976)</f>
        <v>1404211976</v>
      </c>
      <c r="D13014">
        <v>1709.88</v>
      </c>
    </row>
    <row r="13015" spans="1:4" hidden="1" x14ac:dyDescent="0.25">
      <c r="A13015" t="s">
        <v>714</v>
      </c>
      <c r="B13015" t="s">
        <v>24</v>
      </c>
      <c r="C13015" s="2">
        <f>HYPERLINK("https://sao.dolgi.msk.ru/account/1404212792/", 1404212792)</f>
        <v>1404212792</v>
      </c>
      <c r="D13015">
        <v>-7031.1</v>
      </c>
    </row>
    <row r="13016" spans="1:4" hidden="1" x14ac:dyDescent="0.25">
      <c r="A13016" t="s">
        <v>714</v>
      </c>
      <c r="B13016" t="s">
        <v>25</v>
      </c>
      <c r="C13016" s="2">
        <f>HYPERLINK("https://sao.dolgi.msk.ru/account/1404211626/", 1404211626)</f>
        <v>1404211626</v>
      </c>
      <c r="D13016">
        <v>-4820.0600000000004</v>
      </c>
    </row>
    <row r="13017" spans="1:4" hidden="1" x14ac:dyDescent="0.25">
      <c r="A13017" t="s">
        <v>714</v>
      </c>
      <c r="B13017" t="s">
        <v>26</v>
      </c>
      <c r="C13017" s="2">
        <f>HYPERLINK("https://sao.dolgi.msk.ru/account/1404211781/", 1404211781)</f>
        <v>1404211781</v>
      </c>
      <c r="D13017">
        <v>0</v>
      </c>
    </row>
    <row r="13018" spans="1:4" hidden="1" x14ac:dyDescent="0.25">
      <c r="A13018" t="s">
        <v>714</v>
      </c>
      <c r="B13018" t="s">
        <v>27</v>
      </c>
      <c r="C13018" s="2">
        <f>HYPERLINK("https://sao.dolgi.msk.ru/account/1404212274/", 1404212274)</f>
        <v>1404212274</v>
      </c>
      <c r="D13018">
        <v>-3102.96</v>
      </c>
    </row>
    <row r="13019" spans="1:4" hidden="1" x14ac:dyDescent="0.25">
      <c r="A13019" t="s">
        <v>714</v>
      </c>
      <c r="B13019" t="s">
        <v>28</v>
      </c>
      <c r="C13019" s="2">
        <f>HYPERLINK("https://sao.dolgi.msk.ru/account/1404212282/", 1404212282)</f>
        <v>1404212282</v>
      </c>
      <c r="D13019">
        <v>-4730.6099999999997</v>
      </c>
    </row>
    <row r="13020" spans="1:4" hidden="1" x14ac:dyDescent="0.25">
      <c r="A13020" t="s">
        <v>714</v>
      </c>
      <c r="B13020" t="s">
        <v>29</v>
      </c>
      <c r="C13020" s="2">
        <f>HYPERLINK("https://sao.dolgi.msk.ru/account/1404211634/", 1404211634)</f>
        <v>1404211634</v>
      </c>
      <c r="D13020">
        <v>-5533.63</v>
      </c>
    </row>
    <row r="13021" spans="1:4" hidden="1" x14ac:dyDescent="0.25">
      <c r="A13021" t="s">
        <v>714</v>
      </c>
      <c r="B13021" t="s">
        <v>30</v>
      </c>
      <c r="C13021" s="2">
        <f>HYPERLINK("https://sao.dolgi.msk.ru/account/1404212442/", 1404212442)</f>
        <v>1404212442</v>
      </c>
      <c r="D13021">
        <v>-4653.5</v>
      </c>
    </row>
    <row r="13022" spans="1:4" hidden="1" x14ac:dyDescent="0.25">
      <c r="A13022" t="s">
        <v>714</v>
      </c>
      <c r="B13022" t="s">
        <v>31</v>
      </c>
      <c r="C13022" s="2">
        <f>HYPERLINK("https://sao.dolgi.msk.ru/account/1404212303/", 1404212303)</f>
        <v>1404212303</v>
      </c>
      <c r="D13022">
        <v>0</v>
      </c>
    </row>
    <row r="13023" spans="1:4" hidden="1" x14ac:dyDescent="0.25">
      <c r="A13023" t="s">
        <v>714</v>
      </c>
      <c r="B13023" t="s">
        <v>32</v>
      </c>
      <c r="C13023" s="2">
        <f>HYPERLINK("https://sao.dolgi.msk.ru/account/1404211984/", 1404211984)</f>
        <v>1404211984</v>
      </c>
      <c r="D13023">
        <v>0</v>
      </c>
    </row>
    <row r="13024" spans="1:4" hidden="1" x14ac:dyDescent="0.25">
      <c r="A13024" t="s">
        <v>714</v>
      </c>
      <c r="B13024" t="s">
        <v>33</v>
      </c>
      <c r="C13024" s="2">
        <f>HYPERLINK("https://sao.dolgi.msk.ru/account/1404212135/", 1404212135)</f>
        <v>1404212135</v>
      </c>
      <c r="D13024">
        <v>-2985.69</v>
      </c>
    </row>
    <row r="13025" spans="1:4" hidden="1" x14ac:dyDescent="0.25">
      <c r="A13025" t="s">
        <v>714</v>
      </c>
      <c r="B13025" t="s">
        <v>34</v>
      </c>
      <c r="C13025" s="2">
        <f>HYPERLINK("https://sao.dolgi.msk.ru/account/1404211992/", 1404211992)</f>
        <v>1404211992</v>
      </c>
      <c r="D13025">
        <v>-2971.18</v>
      </c>
    </row>
    <row r="13026" spans="1:4" hidden="1" x14ac:dyDescent="0.25">
      <c r="A13026" t="s">
        <v>714</v>
      </c>
      <c r="B13026" t="s">
        <v>35</v>
      </c>
      <c r="C13026" s="2">
        <f>HYPERLINK("https://sao.dolgi.msk.ru/account/1404212004/", 1404212004)</f>
        <v>1404212004</v>
      </c>
      <c r="D13026">
        <v>-3168.05</v>
      </c>
    </row>
    <row r="13027" spans="1:4" hidden="1" x14ac:dyDescent="0.25">
      <c r="A13027" t="s">
        <v>714</v>
      </c>
      <c r="B13027" t="s">
        <v>36</v>
      </c>
      <c r="C13027" s="2">
        <f>HYPERLINK("https://sao.dolgi.msk.ru/account/1404212469/", 1404212469)</f>
        <v>1404212469</v>
      </c>
      <c r="D13027">
        <v>0</v>
      </c>
    </row>
    <row r="13028" spans="1:4" hidden="1" x14ac:dyDescent="0.25">
      <c r="A13028" t="s">
        <v>714</v>
      </c>
      <c r="B13028" t="s">
        <v>36</v>
      </c>
      <c r="C13028" s="2">
        <f>HYPERLINK("https://sao.dolgi.msk.ru/account/1404212768/", 1404212768)</f>
        <v>1404212768</v>
      </c>
      <c r="D13028">
        <v>0</v>
      </c>
    </row>
    <row r="13029" spans="1:4" hidden="1" x14ac:dyDescent="0.25">
      <c r="A13029" t="s">
        <v>714</v>
      </c>
      <c r="B13029" t="s">
        <v>37</v>
      </c>
      <c r="C13029" s="2">
        <f>HYPERLINK("https://sao.dolgi.msk.ru/account/1404211554/", 1404211554)</f>
        <v>1404211554</v>
      </c>
      <c r="D13029">
        <v>-4135.05</v>
      </c>
    </row>
    <row r="13030" spans="1:4" hidden="1" x14ac:dyDescent="0.25">
      <c r="A13030" t="s">
        <v>714</v>
      </c>
      <c r="B13030" t="s">
        <v>38</v>
      </c>
      <c r="C13030" s="2">
        <f>HYPERLINK("https://sao.dolgi.msk.ru/account/1404212776/", 1404212776)</f>
        <v>1404212776</v>
      </c>
      <c r="D13030">
        <v>-4688.33</v>
      </c>
    </row>
    <row r="13031" spans="1:4" hidden="1" x14ac:dyDescent="0.25">
      <c r="A13031" t="s">
        <v>714</v>
      </c>
      <c r="B13031" t="s">
        <v>39</v>
      </c>
      <c r="C13031" s="2">
        <f>HYPERLINK("https://sao.dolgi.msk.ru/account/1404211941/", 1404211941)</f>
        <v>1404211941</v>
      </c>
      <c r="D13031">
        <v>-1797.54</v>
      </c>
    </row>
    <row r="13032" spans="1:4" hidden="1" x14ac:dyDescent="0.25">
      <c r="A13032" t="s">
        <v>714</v>
      </c>
      <c r="B13032" t="s">
        <v>40</v>
      </c>
      <c r="C13032" s="2">
        <f>HYPERLINK("https://sao.dolgi.msk.ru/account/1404212418/", 1404212418)</f>
        <v>1404212418</v>
      </c>
      <c r="D13032">
        <v>-16930.810000000001</v>
      </c>
    </row>
    <row r="13033" spans="1:4" hidden="1" x14ac:dyDescent="0.25">
      <c r="A13033" t="s">
        <v>714</v>
      </c>
      <c r="B13033" t="s">
        <v>41</v>
      </c>
      <c r="C13033" s="2">
        <f>HYPERLINK("https://sao.dolgi.msk.ru/account/1404212784/", 1404212784)</f>
        <v>1404212784</v>
      </c>
      <c r="D13033">
        <v>0</v>
      </c>
    </row>
    <row r="13034" spans="1:4" x14ac:dyDescent="0.25">
      <c r="A13034" t="s">
        <v>714</v>
      </c>
      <c r="B13034" t="s">
        <v>42</v>
      </c>
      <c r="C13034" s="2">
        <f>HYPERLINK("https://sao.dolgi.msk.ru/account/1404211968/", 1404211968)</f>
        <v>1404211968</v>
      </c>
      <c r="D13034">
        <v>313.95999999999998</v>
      </c>
    </row>
    <row r="13035" spans="1:4" hidden="1" x14ac:dyDescent="0.25">
      <c r="A13035" t="s">
        <v>714</v>
      </c>
      <c r="B13035" t="s">
        <v>43</v>
      </c>
      <c r="C13035" s="2">
        <f>HYPERLINK("https://sao.dolgi.msk.ru/account/1404212602/", 1404212602)</f>
        <v>1404212602</v>
      </c>
      <c r="D13035">
        <v>-7783.14</v>
      </c>
    </row>
    <row r="13036" spans="1:4" hidden="1" x14ac:dyDescent="0.25">
      <c r="A13036" t="s">
        <v>714</v>
      </c>
      <c r="B13036" t="s">
        <v>44</v>
      </c>
      <c r="C13036" s="2">
        <f>HYPERLINK("https://sao.dolgi.msk.ru/account/1404211722/", 1404211722)</f>
        <v>1404211722</v>
      </c>
      <c r="D13036">
        <v>0</v>
      </c>
    </row>
    <row r="13037" spans="1:4" hidden="1" x14ac:dyDescent="0.25">
      <c r="A13037" t="s">
        <v>714</v>
      </c>
      <c r="B13037" t="s">
        <v>45</v>
      </c>
      <c r="C13037" s="2">
        <f>HYPERLINK("https://sao.dolgi.msk.ru/account/1404211925/", 1404211925)</f>
        <v>1404211925</v>
      </c>
      <c r="D13037">
        <v>0</v>
      </c>
    </row>
    <row r="13038" spans="1:4" hidden="1" x14ac:dyDescent="0.25">
      <c r="A13038" t="s">
        <v>714</v>
      </c>
      <c r="B13038" t="s">
        <v>46</v>
      </c>
      <c r="C13038" s="2">
        <f>HYPERLINK("https://sao.dolgi.msk.ru/account/1404211749/", 1404211749)</f>
        <v>1404211749</v>
      </c>
      <c r="D13038">
        <v>-2910.37</v>
      </c>
    </row>
    <row r="13039" spans="1:4" x14ac:dyDescent="0.25">
      <c r="A13039" t="s">
        <v>714</v>
      </c>
      <c r="B13039" t="s">
        <v>47</v>
      </c>
      <c r="C13039" s="2">
        <f>HYPERLINK("https://sao.dolgi.msk.ru/account/1404212397/", 1404212397)</f>
        <v>1404212397</v>
      </c>
      <c r="D13039">
        <v>11433.76</v>
      </c>
    </row>
    <row r="13040" spans="1:4" x14ac:dyDescent="0.25">
      <c r="A13040" t="s">
        <v>714</v>
      </c>
      <c r="B13040" t="s">
        <v>48</v>
      </c>
      <c r="C13040" s="2">
        <f>HYPERLINK("https://sao.dolgi.msk.ru/account/1404212119/", 1404212119)</f>
        <v>1404212119</v>
      </c>
      <c r="D13040">
        <v>3712.63</v>
      </c>
    </row>
    <row r="13041" spans="1:4" hidden="1" x14ac:dyDescent="0.25">
      <c r="A13041" t="s">
        <v>714</v>
      </c>
      <c r="B13041" t="s">
        <v>49</v>
      </c>
      <c r="C13041" s="2">
        <f>HYPERLINK("https://sao.dolgi.msk.ru/account/1404211757/", 1404211757)</f>
        <v>1404211757</v>
      </c>
      <c r="D13041">
        <v>0</v>
      </c>
    </row>
    <row r="13042" spans="1:4" x14ac:dyDescent="0.25">
      <c r="A13042" t="s">
        <v>714</v>
      </c>
      <c r="B13042" t="s">
        <v>50</v>
      </c>
      <c r="C13042" s="2">
        <f>HYPERLINK("https://sao.dolgi.msk.ru/account/1404211669/", 1404211669)</f>
        <v>1404211669</v>
      </c>
      <c r="D13042">
        <v>13103.18</v>
      </c>
    </row>
    <row r="13043" spans="1:4" hidden="1" x14ac:dyDescent="0.25">
      <c r="A13043" t="s">
        <v>714</v>
      </c>
      <c r="B13043" t="s">
        <v>51</v>
      </c>
      <c r="C13043" s="2">
        <f>HYPERLINK("https://sao.dolgi.msk.ru/account/1404211677/", 1404211677)</f>
        <v>1404211677</v>
      </c>
      <c r="D13043">
        <v>0</v>
      </c>
    </row>
    <row r="13044" spans="1:4" hidden="1" x14ac:dyDescent="0.25">
      <c r="A13044" t="s">
        <v>714</v>
      </c>
      <c r="B13044" t="s">
        <v>52</v>
      </c>
      <c r="C13044" s="2">
        <f>HYPERLINK("https://sao.dolgi.msk.ru/account/1404211685/", 1404211685)</f>
        <v>1404211685</v>
      </c>
      <c r="D13044">
        <v>-8540.0300000000007</v>
      </c>
    </row>
    <row r="13045" spans="1:4" x14ac:dyDescent="0.25">
      <c r="A13045" t="s">
        <v>714</v>
      </c>
      <c r="B13045" t="s">
        <v>53</v>
      </c>
      <c r="C13045" s="2">
        <f>HYPERLINK("https://sao.dolgi.msk.ru/account/1404211853/", 1404211853)</f>
        <v>1404211853</v>
      </c>
      <c r="D13045">
        <v>11529.25</v>
      </c>
    </row>
    <row r="13046" spans="1:4" hidden="1" x14ac:dyDescent="0.25">
      <c r="A13046" t="s">
        <v>714</v>
      </c>
      <c r="B13046" t="s">
        <v>54</v>
      </c>
      <c r="C13046" s="2">
        <f>HYPERLINK("https://sao.dolgi.msk.ru/account/1404212012/", 1404212012)</f>
        <v>1404212012</v>
      </c>
      <c r="D13046">
        <v>-3546.83</v>
      </c>
    </row>
    <row r="13047" spans="1:4" hidden="1" x14ac:dyDescent="0.25">
      <c r="A13047" t="s">
        <v>714</v>
      </c>
      <c r="B13047" t="s">
        <v>55</v>
      </c>
      <c r="C13047" s="2">
        <f>HYPERLINK("https://sao.dolgi.msk.ru/account/1404212311/", 1404212311)</f>
        <v>1404212311</v>
      </c>
      <c r="D13047">
        <v>-5663.18</v>
      </c>
    </row>
    <row r="13048" spans="1:4" hidden="1" x14ac:dyDescent="0.25">
      <c r="A13048" t="s">
        <v>714</v>
      </c>
      <c r="B13048" t="s">
        <v>56</v>
      </c>
      <c r="C13048" s="2">
        <f>HYPERLINK("https://sao.dolgi.msk.ru/account/1404212186/", 1404212186)</f>
        <v>1404212186</v>
      </c>
      <c r="D13048">
        <v>0</v>
      </c>
    </row>
    <row r="13049" spans="1:4" hidden="1" x14ac:dyDescent="0.25">
      <c r="A13049" t="s">
        <v>714</v>
      </c>
      <c r="B13049" t="s">
        <v>57</v>
      </c>
      <c r="C13049" s="2">
        <f>HYPERLINK("https://sao.dolgi.msk.ru/account/1404212637/", 1404212637)</f>
        <v>1404212637</v>
      </c>
      <c r="D13049">
        <v>-5762.95</v>
      </c>
    </row>
    <row r="13050" spans="1:4" hidden="1" x14ac:dyDescent="0.25">
      <c r="A13050" t="s">
        <v>714</v>
      </c>
      <c r="B13050" t="s">
        <v>58</v>
      </c>
      <c r="C13050" s="2">
        <f>HYPERLINK("https://sao.dolgi.msk.ru/account/1404212039/", 1404212039)</f>
        <v>1404212039</v>
      </c>
      <c r="D13050">
        <v>-5005.3999999999996</v>
      </c>
    </row>
    <row r="13051" spans="1:4" x14ac:dyDescent="0.25">
      <c r="A13051" t="s">
        <v>714</v>
      </c>
      <c r="B13051" t="s">
        <v>59</v>
      </c>
      <c r="C13051" s="2">
        <f>HYPERLINK("https://sao.dolgi.msk.ru/account/1404212645/", 1404212645)</f>
        <v>1404212645</v>
      </c>
      <c r="D13051">
        <v>27255.21</v>
      </c>
    </row>
    <row r="13052" spans="1:4" hidden="1" x14ac:dyDescent="0.25">
      <c r="A13052" t="s">
        <v>714</v>
      </c>
      <c r="B13052" t="s">
        <v>60</v>
      </c>
      <c r="C13052" s="2">
        <f>HYPERLINK("https://sao.dolgi.msk.ru/account/1404212194/", 1404212194)</f>
        <v>1404212194</v>
      </c>
      <c r="D13052">
        <v>0</v>
      </c>
    </row>
    <row r="13053" spans="1:4" hidden="1" x14ac:dyDescent="0.25">
      <c r="A13053" t="s">
        <v>714</v>
      </c>
      <c r="B13053" t="s">
        <v>60</v>
      </c>
      <c r="C13053" s="2">
        <f>HYPERLINK("https://sao.dolgi.msk.ru/account/1404212821/", 1404212821)</f>
        <v>1404212821</v>
      </c>
      <c r="D13053">
        <v>0</v>
      </c>
    </row>
    <row r="13054" spans="1:4" hidden="1" x14ac:dyDescent="0.25">
      <c r="A13054" t="s">
        <v>714</v>
      </c>
      <c r="B13054" t="s">
        <v>61</v>
      </c>
      <c r="C13054" s="2">
        <f>HYPERLINK("https://sao.dolgi.msk.ru/account/1404212207/", 1404212207)</f>
        <v>1404212207</v>
      </c>
      <c r="D13054">
        <v>0</v>
      </c>
    </row>
    <row r="13055" spans="1:4" x14ac:dyDescent="0.25">
      <c r="A13055" t="s">
        <v>714</v>
      </c>
      <c r="B13055" t="s">
        <v>62</v>
      </c>
      <c r="C13055" s="2">
        <f>HYPERLINK("https://sao.dolgi.msk.ru/account/1404212813/", 1404212813)</f>
        <v>1404212813</v>
      </c>
      <c r="D13055">
        <v>25414.85</v>
      </c>
    </row>
    <row r="13056" spans="1:4" hidden="1" x14ac:dyDescent="0.25">
      <c r="A13056" t="s">
        <v>714</v>
      </c>
      <c r="B13056" t="s">
        <v>63</v>
      </c>
      <c r="C13056" s="2">
        <f>HYPERLINK("https://sao.dolgi.msk.ru/account/1404211693/", 1404211693)</f>
        <v>1404211693</v>
      </c>
      <c r="D13056">
        <v>-6548.83</v>
      </c>
    </row>
    <row r="13057" spans="1:4" hidden="1" x14ac:dyDescent="0.25">
      <c r="A13057" t="s">
        <v>714</v>
      </c>
      <c r="B13057" t="s">
        <v>64</v>
      </c>
      <c r="C13057" s="2">
        <f>HYPERLINK("https://sao.dolgi.msk.ru/account/1404211546/", 1404211546)</f>
        <v>1404211546</v>
      </c>
      <c r="D13057">
        <v>-5795.91</v>
      </c>
    </row>
    <row r="13058" spans="1:4" hidden="1" x14ac:dyDescent="0.25">
      <c r="A13058" t="s">
        <v>714</v>
      </c>
      <c r="B13058" t="s">
        <v>65</v>
      </c>
      <c r="C13058" s="2">
        <f>HYPERLINK("https://sao.dolgi.msk.ru/account/1404211861/", 1404211861)</f>
        <v>1404211861</v>
      </c>
      <c r="D13058">
        <v>-8321.2999999999993</v>
      </c>
    </row>
    <row r="13059" spans="1:4" hidden="1" x14ac:dyDescent="0.25">
      <c r="A13059" t="s">
        <v>714</v>
      </c>
      <c r="B13059" t="s">
        <v>66</v>
      </c>
      <c r="C13059" s="2">
        <f>HYPERLINK("https://sao.dolgi.msk.ru/account/1404211888/", 1404211888)</f>
        <v>1404211888</v>
      </c>
      <c r="D13059">
        <v>0</v>
      </c>
    </row>
    <row r="13060" spans="1:4" x14ac:dyDescent="0.25">
      <c r="A13060" t="s">
        <v>714</v>
      </c>
      <c r="B13060" t="s">
        <v>67</v>
      </c>
      <c r="C13060" s="2">
        <f>HYPERLINK("https://sao.dolgi.msk.ru/account/1404212055/", 1404212055)</f>
        <v>1404212055</v>
      </c>
      <c r="D13060">
        <v>12575.84</v>
      </c>
    </row>
    <row r="13061" spans="1:4" x14ac:dyDescent="0.25">
      <c r="A13061" t="s">
        <v>714</v>
      </c>
      <c r="B13061" t="s">
        <v>68</v>
      </c>
      <c r="C13061" s="2">
        <f>HYPERLINK("https://sao.dolgi.msk.ru/account/1404212338/", 1404212338)</f>
        <v>1404212338</v>
      </c>
      <c r="D13061">
        <v>7622.49</v>
      </c>
    </row>
    <row r="13062" spans="1:4" hidden="1" x14ac:dyDescent="0.25">
      <c r="A13062" t="s">
        <v>714</v>
      </c>
      <c r="B13062" t="s">
        <v>69</v>
      </c>
      <c r="C13062" s="2">
        <f>HYPERLINK("https://sao.dolgi.msk.ru/account/1404212653/", 1404212653)</f>
        <v>1404212653</v>
      </c>
      <c r="D13062">
        <v>0</v>
      </c>
    </row>
    <row r="13063" spans="1:4" hidden="1" x14ac:dyDescent="0.25">
      <c r="A13063" t="s">
        <v>714</v>
      </c>
      <c r="B13063" t="s">
        <v>70</v>
      </c>
      <c r="C13063" s="2">
        <f>HYPERLINK("https://sao.dolgi.msk.ru/account/1404212661/", 1404212661)</f>
        <v>1404212661</v>
      </c>
      <c r="D13063">
        <v>-4052.3</v>
      </c>
    </row>
    <row r="13064" spans="1:4" hidden="1" x14ac:dyDescent="0.25">
      <c r="A13064" t="s">
        <v>714</v>
      </c>
      <c r="B13064" t="s">
        <v>71</v>
      </c>
      <c r="C13064" s="2">
        <f>HYPERLINK("https://sao.dolgi.msk.ru/account/1404212549/", 1404212549)</f>
        <v>1404212549</v>
      </c>
      <c r="D13064">
        <v>0</v>
      </c>
    </row>
    <row r="13065" spans="1:4" hidden="1" x14ac:dyDescent="0.25">
      <c r="A13065" t="s">
        <v>714</v>
      </c>
      <c r="B13065" t="s">
        <v>72</v>
      </c>
      <c r="C13065" s="2">
        <f>HYPERLINK("https://sao.dolgi.msk.ru/account/1404212717/", 1404212717)</f>
        <v>1404212717</v>
      </c>
      <c r="D13065">
        <v>0</v>
      </c>
    </row>
    <row r="13066" spans="1:4" x14ac:dyDescent="0.25">
      <c r="A13066" t="s">
        <v>714</v>
      </c>
      <c r="B13066" t="s">
        <v>73</v>
      </c>
      <c r="C13066" s="2">
        <f>HYPERLINK("https://sao.dolgi.msk.ru/account/1404212557/", 1404212557)</f>
        <v>1404212557</v>
      </c>
      <c r="D13066">
        <v>7827.93</v>
      </c>
    </row>
    <row r="13067" spans="1:4" hidden="1" x14ac:dyDescent="0.25">
      <c r="A13067" t="s">
        <v>714</v>
      </c>
      <c r="B13067" t="s">
        <v>74</v>
      </c>
      <c r="C13067" s="2">
        <f>HYPERLINK("https://sao.dolgi.msk.ru/account/1404211482/", 1404211482)</f>
        <v>1404211482</v>
      </c>
      <c r="D13067">
        <v>-2878.21</v>
      </c>
    </row>
    <row r="13068" spans="1:4" hidden="1" x14ac:dyDescent="0.25">
      <c r="A13068" t="s">
        <v>714</v>
      </c>
      <c r="B13068" t="s">
        <v>75</v>
      </c>
      <c r="C13068" s="2">
        <f>HYPERLINK("https://sao.dolgi.msk.ru/account/1404212688/", 1404212688)</f>
        <v>1404212688</v>
      </c>
      <c r="D13068">
        <v>-5986.38</v>
      </c>
    </row>
    <row r="13069" spans="1:4" hidden="1" x14ac:dyDescent="0.25">
      <c r="A13069" t="s">
        <v>714</v>
      </c>
      <c r="B13069" t="s">
        <v>76</v>
      </c>
      <c r="C13069" s="2">
        <f>HYPERLINK("https://sao.dolgi.msk.ru/account/1404212485/", 1404212485)</f>
        <v>1404212485</v>
      </c>
      <c r="D13069">
        <v>-6213.18</v>
      </c>
    </row>
    <row r="13070" spans="1:4" hidden="1" x14ac:dyDescent="0.25">
      <c r="A13070" t="s">
        <v>714</v>
      </c>
      <c r="B13070" t="s">
        <v>77</v>
      </c>
      <c r="C13070" s="2">
        <f>HYPERLINK("https://sao.dolgi.msk.ru/account/1404212493/", 1404212493)</f>
        <v>1404212493</v>
      </c>
      <c r="D13070">
        <v>0</v>
      </c>
    </row>
    <row r="13071" spans="1:4" hidden="1" x14ac:dyDescent="0.25">
      <c r="A13071" t="s">
        <v>714</v>
      </c>
      <c r="B13071" t="s">
        <v>78</v>
      </c>
      <c r="C13071" s="2">
        <f>HYPERLINK("https://sao.dolgi.msk.ru/account/1404211896/", 1404211896)</f>
        <v>1404211896</v>
      </c>
      <c r="D13071">
        <v>-5500</v>
      </c>
    </row>
    <row r="13072" spans="1:4" hidden="1" x14ac:dyDescent="0.25">
      <c r="A13072" t="s">
        <v>714</v>
      </c>
      <c r="B13072" t="s">
        <v>79</v>
      </c>
      <c r="C13072" s="2">
        <f>HYPERLINK("https://sao.dolgi.msk.ru/account/1404211503/", 1404211503)</f>
        <v>1404211503</v>
      </c>
      <c r="D13072">
        <v>-4874.1499999999996</v>
      </c>
    </row>
    <row r="13073" spans="1:4" hidden="1" x14ac:dyDescent="0.25">
      <c r="A13073" t="s">
        <v>714</v>
      </c>
      <c r="B13073" t="s">
        <v>80</v>
      </c>
      <c r="C13073" s="2">
        <f>HYPERLINK("https://sao.dolgi.msk.ru/account/1404212346/", 1404212346)</f>
        <v>1404212346</v>
      </c>
      <c r="D13073">
        <v>-5627.12</v>
      </c>
    </row>
    <row r="13074" spans="1:4" hidden="1" x14ac:dyDescent="0.25">
      <c r="A13074" t="s">
        <v>714</v>
      </c>
      <c r="B13074" t="s">
        <v>81</v>
      </c>
      <c r="C13074" s="2">
        <f>HYPERLINK("https://sao.dolgi.msk.ru/account/1404212071/", 1404212071)</f>
        <v>1404212071</v>
      </c>
      <c r="D13074">
        <v>0</v>
      </c>
    </row>
    <row r="13075" spans="1:4" hidden="1" x14ac:dyDescent="0.25">
      <c r="A13075" t="s">
        <v>714</v>
      </c>
      <c r="B13075" t="s">
        <v>82</v>
      </c>
      <c r="C13075" s="2">
        <f>HYPERLINK("https://sao.dolgi.msk.ru/account/1404212696/", 1404212696)</f>
        <v>1404212696</v>
      </c>
      <c r="D13075">
        <v>-3825.72</v>
      </c>
    </row>
    <row r="13076" spans="1:4" hidden="1" x14ac:dyDescent="0.25">
      <c r="A13076" t="s">
        <v>714</v>
      </c>
      <c r="B13076" t="s">
        <v>83</v>
      </c>
      <c r="C13076" s="2">
        <f>HYPERLINK("https://sao.dolgi.msk.ru/account/1404211706/", 1404211706)</f>
        <v>1404211706</v>
      </c>
      <c r="D13076">
        <v>-3643.11</v>
      </c>
    </row>
    <row r="13077" spans="1:4" hidden="1" x14ac:dyDescent="0.25">
      <c r="A13077" t="s">
        <v>714</v>
      </c>
      <c r="B13077" t="s">
        <v>84</v>
      </c>
      <c r="C13077" s="2">
        <f>HYPERLINK("https://sao.dolgi.msk.ru/account/1404212354/", 1404212354)</f>
        <v>1404212354</v>
      </c>
      <c r="D13077">
        <v>0</v>
      </c>
    </row>
    <row r="13078" spans="1:4" hidden="1" x14ac:dyDescent="0.25">
      <c r="A13078" t="s">
        <v>714</v>
      </c>
      <c r="B13078" t="s">
        <v>85</v>
      </c>
      <c r="C13078" s="2">
        <f>HYPERLINK("https://sao.dolgi.msk.ru/account/1404212362/", 1404212362)</f>
        <v>1404212362</v>
      </c>
      <c r="D13078">
        <v>0</v>
      </c>
    </row>
    <row r="13079" spans="1:4" hidden="1" x14ac:dyDescent="0.25">
      <c r="A13079" t="s">
        <v>714</v>
      </c>
      <c r="B13079" t="s">
        <v>86</v>
      </c>
      <c r="C13079" s="2">
        <f>HYPERLINK("https://sao.dolgi.msk.ru/account/1404212215/", 1404212215)</f>
        <v>1404212215</v>
      </c>
      <c r="D13079">
        <v>-3404.65</v>
      </c>
    </row>
    <row r="13080" spans="1:4" hidden="1" x14ac:dyDescent="0.25">
      <c r="A13080" t="s">
        <v>714</v>
      </c>
      <c r="B13080" t="s">
        <v>87</v>
      </c>
      <c r="C13080" s="2">
        <f>HYPERLINK("https://sao.dolgi.msk.ru/account/1404212506/", 1404212506)</f>
        <v>1404212506</v>
      </c>
      <c r="D13080">
        <v>0</v>
      </c>
    </row>
    <row r="13081" spans="1:4" hidden="1" x14ac:dyDescent="0.25">
      <c r="A13081" t="s">
        <v>714</v>
      </c>
      <c r="B13081" t="s">
        <v>88</v>
      </c>
      <c r="C13081" s="2">
        <f>HYPERLINK("https://sao.dolgi.msk.ru/account/1404211909/", 1404211909)</f>
        <v>1404211909</v>
      </c>
      <c r="D13081">
        <v>-3149</v>
      </c>
    </row>
    <row r="13082" spans="1:4" x14ac:dyDescent="0.25">
      <c r="A13082" t="s">
        <v>714</v>
      </c>
      <c r="B13082" t="s">
        <v>89</v>
      </c>
      <c r="C13082" s="2">
        <f>HYPERLINK("https://sao.dolgi.msk.ru/account/1404211917/", 1404211917)</f>
        <v>1404211917</v>
      </c>
      <c r="D13082">
        <v>5313.08</v>
      </c>
    </row>
    <row r="13083" spans="1:4" hidden="1" x14ac:dyDescent="0.25">
      <c r="A13083" t="s">
        <v>714</v>
      </c>
      <c r="B13083" t="s">
        <v>90</v>
      </c>
      <c r="C13083" s="2">
        <f>HYPERLINK("https://sao.dolgi.msk.ru/account/1404212098/", 1404212098)</f>
        <v>1404212098</v>
      </c>
      <c r="D13083">
        <v>-3891.69</v>
      </c>
    </row>
    <row r="13084" spans="1:4" x14ac:dyDescent="0.25">
      <c r="A13084" t="s">
        <v>714</v>
      </c>
      <c r="B13084" t="s">
        <v>91</v>
      </c>
      <c r="C13084" s="2">
        <f>HYPERLINK("https://sao.dolgi.msk.ru/account/1404212514/", 1404212514)</f>
        <v>1404212514</v>
      </c>
      <c r="D13084">
        <v>913.01</v>
      </c>
    </row>
    <row r="13085" spans="1:4" hidden="1" x14ac:dyDescent="0.25">
      <c r="A13085" t="s">
        <v>714</v>
      </c>
      <c r="B13085" t="s">
        <v>92</v>
      </c>
      <c r="C13085" s="2">
        <f>HYPERLINK("https://sao.dolgi.msk.ru/account/1404212522/", 1404212522)</f>
        <v>1404212522</v>
      </c>
      <c r="D13085">
        <v>-5601.35</v>
      </c>
    </row>
    <row r="13086" spans="1:4" hidden="1" x14ac:dyDescent="0.25">
      <c r="A13086" t="s">
        <v>714</v>
      </c>
      <c r="B13086" t="s">
        <v>93</v>
      </c>
      <c r="C13086" s="2">
        <f>HYPERLINK("https://sao.dolgi.msk.ru/account/1404212223/", 1404212223)</f>
        <v>1404212223</v>
      </c>
      <c r="D13086">
        <v>-7406.25</v>
      </c>
    </row>
    <row r="13087" spans="1:4" x14ac:dyDescent="0.25">
      <c r="A13087" t="s">
        <v>714</v>
      </c>
      <c r="B13087" t="s">
        <v>94</v>
      </c>
      <c r="C13087" s="2">
        <f>HYPERLINK("https://sao.dolgi.msk.ru/account/1404211714/", 1404211714)</f>
        <v>1404211714</v>
      </c>
      <c r="D13087">
        <v>26411.77</v>
      </c>
    </row>
    <row r="13088" spans="1:4" hidden="1" x14ac:dyDescent="0.25">
      <c r="A13088" t="s">
        <v>714</v>
      </c>
      <c r="B13088" t="s">
        <v>95</v>
      </c>
      <c r="C13088" s="2">
        <f>HYPERLINK("https://sao.dolgi.msk.ru/account/1404212143/", 1404212143)</f>
        <v>1404212143</v>
      </c>
      <c r="D13088">
        <v>0</v>
      </c>
    </row>
    <row r="13089" spans="1:4" hidden="1" x14ac:dyDescent="0.25">
      <c r="A13089" t="s">
        <v>714</v>
      </c>
      <c r="B13089" t="s">
        <v>96</v>
      </c>
      <c r="C13089" s="2">
        <f>HYPERLINK("https://sao.dolgi.msk.ru/account/1404212629/", 1404212629)</f>
        <v>1404212629</v>
      </c>
      <c r="D13089">
        <v>-2624.19</v>
      </c>
    </row>
    <row r="13090" spans="1:4" hidden="1" x14ac:dyDescent="0.25">
      <c r="A13090" t="s">
        <v>714</v>
      </c>
      <c r="B13090" t="s">
        <v>97</v>
      </c>
      <c r="C13090" s="2">
        <f>HYPERLINK("https://sao.dolgi.msk.ru/account/1404211829/", 1404211829)</f>
        <v>1404211829</v>
      </c>
      <c r="D13090">
        <v>-7933.78</v>
      </c>
    </row>
    <row r="13091" spans="1:4" hidden="1" x14ac:dyDescent="0.25">
      <c r="A13091" t="s">
        <v>714</v>
      </c>
      <c r="B13091" t="s">
        <v>98</v>
      </c>
      <c r="C13091" s="2">
        <f>HYPERLINK("https://sao.dolgi.msk.ru/account/1404211837/", 1404211837)</f>
        <v>1404211837</v>
      </c>
      <c r="D13091">
        <v>-3010.2</v>
      </c>
    </row>
    <row r="13092" spans="1:4" hidden="1" x14ac:dyDescent="0.25">
      <c r="A13092" t="s">
        <v>714</v>
      </c>
      <c r="B13092" t="s">
        <v>99</v>
      </c>
      <c r="C13092" s="2">
        <f>HYPERLINK("https://sao.dolgi.msk.ru/account/1404211845/", 1404211845)</f>
        <v>1404211845</v>
      </c>
      <c r="D13092">
        <v>0</v>
      </c>
    </row>
    <row r="13093" spans="1:4" hidden="1" x14ac:dyDescent="0.25">
      <c r="A13093" t="s">
        <v>714</v>
      </c>
      <c r="B13093" t="s">
        <v>100</v>
      </c>
      <c r="C13093" s="2">
        <f>HYPERLINK("https://sao.dolgi.msk.ru/account/1404211642/", 1404211642)</f>
        <v>1404211642</v>
      </c>
      <c r="D13093">
        <v>-8107.35</v>
      </c>
    </row>
    <row r="13094" spans="1:4" hidden="1" x14ac:dyDescent="0.25">
      <c r="A13094" t="s">
        <v>714</v>
      </c>
      <c r="B13094" t="s">
        <v>101</v>
      </c>
      <c r="C13094" s="2">
        <f>HYPERLINK("https://sao.dolgi.msk.ru/account/1404212805/", 1404212805)</f>
        <v>1404212805</v>
      </c>
      <c r="D13094">
        <v>-8416.23</v>
      </c>
    </row>
    <row r="13095" spans="1:4" hidden="1" x14ac:dyDescent="0.25">
      <c r="A13095" t="s">
        <v>714</v>
      </c>
      <c r="B13095" t="s">
        <v>102</v>
      </c>
      <c r="C13095" s="2">
        <f>HYPERLINK("https://sao.dolgi.msk.ru/account/1404212151/", 1404212151)</f>
        <v>1404212151</v>
      </c>
      <c r="D13095">
        <v>-3686.76</v>
      </c>
    </row>
    <row r="13096" spans="1:4" hidden="1" x14ac:dyDescent="0.25">
      <c r="A13096" t="s">
        <v>714</v>
      </c>
      <c r="B13096" t="s">
        <v>103</v>
      </c>
      <c r="C13096" s="2">
        <f>HYPERLINK("https://sao.dolgi.msk.ru/account/1404212477/", 1404212477)</f>
        <v>1404212477</v>
      </c>
      <c r="D13096">
        <v>0</v>
      </c>
    </row>
    <row r="13097" spans="1:4" hidden="1" x14ac:dyDescent="0.25">
      <c r="A13097" t="s">
        <v>714</v>
      </c>
      <c r="B13097" t="s">
        <v>104</v>
      </c>
      <c r="C13097" s="2">
        <f>HYPERLINK("https://sao.dolgi.msk.ru/account/1404211511/", 1404211511)</f>
        <v>1404211511</v>
      </c>
      <c r="D13097">
        <v>-4583</v>
      </c>
    </row>
    <row r="13098" spans="1:4" x14ac:dyDescent="0.25">
      <c r="A13098" t="s">
        <v>714</v>
      </c>
      <c r="B13098" t="s">
        <v>105</v>
      </c>
      <c r="C13098" s="2">
        <f>HYPERLINK("https://sao.dolgi.msk.ru/account/1404212733/", 1404212733)</f>
        <v>1404212733</v>
      </c>
      <c r="D13098">
        <v>28664.68</v>
      </c>
    </row>
    <row r="13099" spans="1:4" x14ac:dyDescent="0.25">
      <c r="A13099" t="s">
        <v>714</v>
      </c>
      <c r="B13099" t="s">
        <v>106</v>
      </c>
      <c r="C13099" s="2">
        <f>HYPERLINK("https://sao.dolgi.msk.ru/account/1404211933/", 1404211933)</f>
        <v>1404211933</v>
      </c>
      <c r="D13099">
        <v>53986.18</v>
      </c>
    </row>
    <row r="13100" spans="1:4" hidden="1" x14ac:dyDescent="0.25">
      <c r="A13100" t="s">
        <v>714</v>
      </c>
      <c r="B13100" t="s">
        <v>107</v>
      </c>
      <c r="C13100" s="2">
        <f>HYPERLINK("https://sao.dolgi.msk.ru/account/1404212741/", 1404212741)</f>
        <v>1404212741</v>
      </c>
      <c r="D13100">
        <v>-1755.24</v>
      </c>
    </row>
    <row r="13101" spans="1:4" hidden="1" x14ac:dyDescent="0.25">
      <c r="A13101" t="s">
        <v>714</v>
      </c>
      <c r="B13101" t="s">
        <v>108</v>
      </c>
      <c r="C13101" s="2">
        <f>HYPERLINK("https://sao.dolgi.msk.ru/account/1404212573/", 1404212573)</f>
        <v>1404212573</v>
      </c>
      <c r="D13101">
        <v>-4728.34</v>
      </c>
    </row>
    <row r="13102" spans="1:4" hidden="1" x14ac:dyDescent="0.25">
      <c r="A13102" t="s">
        <v>714</v>
      </c>
      <c r="B13102" t="s">
        <v>109</v>
      </c>
      <c r="C13102" s="2">
        <f>HYPERLINK("https://sao.dolgi.msk.ru/account/1404211765/", 1404211765)</f>
        <v>1404211765</v>
      </c>
      <c r="D13102">
        <v>-4672.58</v>
      </c>
    </row>
    <row r="13103" spans="1:4" hidden="1" x14ac:dyDescent="0.25">
      <c r="A13103" t="s">
        <v>714</v>
      </c>
      <c r="B13103" t="s">
        <v>110</v>
      </c>
      <c r="C13103" s="2">
        <f>HYPERLINK("https://sao.dolgi.msk.ru/account/1404212127/", 1404212127)</f>
        <v>1404212127</v>
      </c>
      <c r="D13103">
        <v>0</v>
      </c>
    </row>
    <row r="13104" spans="1:4" hidden="1" x14ac:dyDescent="0.25">
      <c r="A13104" t="s">
        <v>714</v>
      </c>
      <c r="B13104" t="s">
        <v>111</v>
      </c>
      <c r="C13104" s="2">
        <f>HYPERLINK("https://sao.dolgi.msk.ru/account/1404212581/", 1404212581)</f>
        <v>1404212581</v>
      </c>
      <c r="D13104">
        <v>0</v>
      </c>
    </row>
    <row r="13105" spans="1:4" hidden="1" x14ac:dyDescent="0.25">
      <c r="A13105" t="s">
        <v>714</v>
      </c>
      <c r="B13105" t="s">
        <v>112</v>
      </c>
      <c r="C13105" s="2">
        <f>HYPERLINK("https://sao.dolgi.msk.ru/account/1404211538/", 1404211538)</f>
        <v>1404211538</v>
      </c>
      <c r="D13105">
        <v>-1867.04</v>
      </c>
    </row>
    <row r="13106" spans="1:4" hidden="1" x14ac:dyDescent="0.25">
      <c r="A13106" t="s">
        <v>715</v>
      </c>
      <c r="B13106" t="s">
        <v>5</v>
      </c>
      <c r="C13106" s="2">
        <f>HYPERLINK("https://sao.dolgi.msk.ru/account/1404213402/", 1404213402)</f>
        <v>1404213402</v>
      </c>
      <c r="D13106">
        <v>-5154</v>
      </c>
    </row>
    <row r="13107" spans="1:4" x14ac:dyDescent="0.25">
      <c r="A13107" t="s">
        <v>715</v>
      </c>
      <c r="B13107" t="s">
        <v>7</v>
      </c>
      <c r="C13107" s="2">
        <f>HYPERLINK("https://sao.dolgi.msk.ru/account/1404214114/", 1404214114)</f>
        <v>1404214114</v>
      </c>
      <c r="D13107">
        <v>10874.01</v>
      </c>
    </row>
    <row r="13108" spans="1:4" hidden="1" x14ac:dyDescent="0.25">
      <c r="A13108" t="s">
        <v>715</v>
      </c>
      <c r="B13108" t="s">
        <v>8</v>
      </c>
      <c r="C13108" s="2">
        <f>HYPERLINK("https://sao.dolgi.msk.ru/account/1404213314/", 1404213314)</f>
        <v>1404213314</v>
      </c>
      <c r="D13108">
        <v>-6573.77</v>
      </c>
    </row>
    <row r="13109" spans="1:4" x14ac:dyDescent="0.25">
      <c r="A13109" t="s">
        <v>715</v>
      </c>
      <c r="B13109" t="s">
        <v>9</v>
      </c>
      <c r="C13109" s="2">
        <f>HYPERLINK("https://sao.dolgi.msk.ru/account/1404213154/", 1404213154)</f>
        <v>1404213154</v>
      </c>
      <c r="D13109">
        <v>5608.94</v>
      </c>
    </row>
    <row r="13110" spans="1:4" x14ac:dyDescent="0.25">
      <c r="A13110" t="s">
        <v>715</v>
      </c>
      <c r="B13110" t="s">
        <v>10</v>
      </c>
      <c r="C13110" s="2">
        <f>HYPERLINK("https://sao.dolgi.msk.ru/account/1404213429/", 1404213429)</f>
        <v>1404213429</v>
      </c>
      <c r="D13110">
        <v>45381.67</v>
      </c>
    </row>
    <row r="13111" spans="1:4" hidden="1" x14ac:dyDescent="0.25">
      <c r="A13111" t="s">
        <v>715</v>
      </c>
      <c r="B13111" t="s">
        <v>11</v>
      </c>
      <c r="C13111" s="2">
        <f>HYPERLINK("https://sao.dolgi.msk.ru/account/1404214421/", 1404214421)</f>
        <v>1404214421</v>
      </c>
      <c r="D13111">
        <v>-6683.76</v>
      </c>
    </row>
    <row r="13112" spans="1:4" hidden="1" x14ac:dyDescent="0.25">
      <c r="A13112" t="s">
        <v>715</v>
      </c>
      <c r="B13112" t="s">
        <v>12</v>
      </c>
      <c r="C13112" s="2">
        <f>HYPERLINK("https://sao.dolgi.msk.ru/account/1404212944/", 1404212944)</f>
        <v>1404212944</v>
      </c>
      <c r="D13112">
        <v>0</v>
      </c>
    </row>
    <row r="13113" spans="1:4" hidden="1" x14ac:dyDescent="0.25">
      <c r="A13113" t="s">
        <v>715</v>
      </c>
      <c r="B13113" t="s">
        <v>13</v>
      </c>
      <c r="C13113" s="2">
        <f>HYPERLINK("https://sao.dolgi.msk.ru/account/1404213824/", 1404213824)</f>
        <v>1404213824</v>
      </c>
      <c r="D13113">
        <v>-7073.49</v>
      </c>
    </row>
    <row r="13114" spans="1:4" hidden="1" x14ac:dyDescent="0.25">
      <c r="A13114" t="s">
        <v>715</v>
      </c>
      <c r="B13114" t="s">
        <v>14</v>
      </c>
      <c r="C13114" s="2">
        <f>HYPERLINK("https://sao.dolgi.msk.ru/account/1404213162/", 1404213162)</f>
        <v>1404213162</v>
      </c>
      <c r="D13114">
        <v>0</v>
      </c>
    </row>
    <row r="13115" spans="1:4" x14ac:dyDescent="0.25">
      <c r="A13115" t="s">
        <v>715</v>
      </c>
      <c r="B13115" t="s">
        <v>15</v>
      </c>
      <c r="C13115" s="2">
        <f>HYPERLINK("https://sao.dolgi.msk.ru/account/1404214122/", 1404214122)</f>
        <v>1404214122</v>
      </c>
      <c r="D13115">
        <v>31555.43</v>
      </c>
    </row>
    <row r="13116" spans="1:4" hidden="1" x14ac:dyDescent="0.25">
      <c r="A13116" t="s">
        <v>715</v>
      </c>
      <c r="B13116" t="s">
        <v>16</v>
      </c>
      <c r="C13116" s="2">
        <f>HYPERLINK("https://sao.dolgi.msk.ru/account/1404213656/", 1404213656)</f>
        <v>1404213656</v>
      </c>
      <c r="D13116">
        <v>-4974.76</v>
      </c>
    </row>
    <row r="13117" spans="1:4" hidden="1" x14ac:dyDescent="0.25">
      <c r="A13117" t="s">
        <v>715</v>
      </c>
      <c r="B13117" t="s">
        <v>17</v>
      </c>
      <c r="C13117" s="2">
        <f>HYPERLINK("https://sao.dolgi.msk.ru/account/1404214448/", 1404214448)</f>
        <v>1404214448</v>
      </c>
      <c r="D13117">
        <v>-6611.97</v>
      </c>
    </row>
    <row r="13118" spans="1:4" x14ac:dyDescent="0.25">
      <c r="A13118" t="s">
        <v>715</v>
      </c>
      <c r="B13118" t="s">
        <v>18</v>
      </c>
      <c r="C13118" s="2">
        <f>HYPERLINK("https://sao.dolgi.msk.ru/account/1404214229/", 1404214229)</f>
        <v>1404214229</v>
      </c>
      <c r="D13118">
        <v>14462.86</v>
      </c>
    </row>
    <row r="13119" spans="1:4" x14ac:dyDescent="0.25">
      <c r="A13119" t="s">
        <v>715</v>
      </c>
      <c r="B13119" t="s">
        <v>19</v>
      </c>
      <c r="C13119" s="2">
        <f>HYPERLINK("https://sao.dolgi.msk.ru/account/1404213699/", 1404213699)</f>
        <v>1404213699</v>
      </c>
      <c r="D13119">
        <v>15398.05</v>
      </c>
    </row>
    <row r="13120" spans="1:4" hidden="1" x14ac:dyDescent="0.25">
      <c r="A13120" t="s">
        <v>715</v>
      </c>
      <c r="B13120" t="s">
        <v>20</v>
      </c>
      <c r="C13120" s="2">
        <f>HYPERLINK("https://sao.dolgi.msk.ru/account/1404213242/", 1404213242)</f>
        <v>1404213242</v>
      </c>
      <c r="D13120">
        <v>0</v>
      </c>
    </row>
    <row r="13121" spans="1:4" hidden="1" x14ac:dyDescent="0.25">
      <c r="A13121" t="s">
        <v>715</v>
      </c>
      <c r="B13121" t="s">
        <v>21</v>
      </c>
      <c r="C13121" s="2">
        <f>HYPERLINK("https://sao.dolgi.msk.ru/account/1404213592/", 1404213592)</f>
        <v>1404213592</v>
      </c>
      <c r="D13121">
        <v>0</v>
      </c>
    </row>
    <row r="13122" spans="1:4" hidden="1" x14ac:dyDescent="0.25">
      <c r="A13122" t="s">
        <v>715</v>
      </c>
      <c r="B13122" t="s">
        <v>22</v>
      </c>
      <c r="C13122" s="2">
        <f>HYPERLINK("https://sao.dolgi.msk.ru/account/1404214018/", 1404214018)</f>
        <v>1404214018</v>
      </c>
      <c r="D13122">
        <v>-6004.24</v>
      </c>
    </row>
    <row r="13123" spans="1:4" hidden="1" x14ac:dyDescent="0.25">
      <c r="A13123" t="s">
        <v>715</v>
      </c>
      <c r="B13123" t="s">
        <v>23</v>
      </c>
      <c r="C13123" s="2">
        <f>HYPERLINK("https://sao.dolgi.msk.ru/account/1404213496/", 1404213496)</f>
        <v>1404213496</v>
      </c>
      <c r="D13123">
        <v>-6123.76</v>
      </c>
    </row>
    <row r="13124" spans="1:4" hidden="1" x14ac:dyDescent="0.25">
      <c r="A13124" t="s">
        <v>715</v>
      </c>
      <c r="B13124" t="s">
        <v>24</v>
      </c>
      <c r="C13124" s="2">
        <f>HYPERLINK("https://sao.dolgi.msk.ru/account/1404212995/", 1404212995)</f>
        <v>1404212995</v>
      </c>
      <c r="D13124">
        <v>-9668.24</v>
      </c>
    </row>
    <row r="13125" spans="1:4" hidden="1" x14ac:dyDescent="0.25">
      <c r="A13125" t="s">
        <v>715</v>
      </c>
      <c r="B13125" t="s">
        <v>25</v>
      </c>
      <c r="C13125" s="2">
        <f>HYPERLINK("https://sao.dolgi.msk.ru/account/1404213197/", 1404213197)</f>
        <v>1404213197</v>
      </c>
      <c r="D13125">
        <v>-10488.92</v>
      </c>
    </row>
    <row r="13126" spans="1:4" hidden="1" x14ac:dyDescent="0.25">
      <c r="A13126" t="s">
        <v>715</v>
      </c>
      <c r="B13126" t="s">
        <v>26</v>
      </c>
      <c r="C13126" s="2">
        <f>HYPERLINK("https://sao.dolgi.msk.ru/account/1404213509/", 1404213509)</f>
        <v>1404213509</v>
      </c>
      <c r="D13126">
        <v>-6755.57</v>
      </c>
    </row>
    <row r="13127" spans="1:4" x14ac:dyDescent="0.25">
      <c r="A13127" t="s">
        <v>715</v>
      </c>
      <c r="B13127" t="s">
        <v>27</v>
      </c>
      <c r="C13127" s="2">
        <f>HYPERLINK("https://sao.dolgi.msk.ru/account/1404213912/", 1404213912)</f>
        <v>1404213912</v>
      </c>
      <c r="D13127">
        <v>22002.46</v>
      </c>
    </row>
    <row r="13128" spans="1:4" x14ac:dyDescent="0.25">
      <c r="A13128" t="s">
        <v>715</v>
      </c>
      <c r="B13128" t="s">
        <v>28</v>
      </c>
      <c r="C13128" s="2">
        <f>HYPERLINK("https://sao.dolgi.msk.ru/account/1404214341/", 1404214341)</f>
        <v>1404214341</v>
      </c>
      <c r="D13128">
        <v>28068.34</v>
      </c>
    </row>
    <row r="13129" spans="1:4" hidden="1" x14ac:dyDescent="0.25">
      <c r="A13129" t="s">
        <v>715</v>
      </c>
      <c r="B13129" t="s">
        <v>29</v>
      </c>
      <c r="C13129" s="2">
        <f>HYPERLINK("https://sao.dolgi.msk.ru/account/1404214288/", 1404214288)</f>
        <v>1404214288</v>
      </c>
      <c r="D13129">
        <v>0</v>
      </c>
    </row>
    <row r="13130" spans="1:4" x14ac:dyDescent="0.25">
      <c r="A13130" t="s">
        <v>715</v>
      </c>
      <c r="B13130" t="s">
        <v>30</v>
      </c>
      <c r="C13130" s="2">
        <f>HYPERLINK("https://sao.dolgi.msk.ru/account/1404214499/", 1404214499)</f>
        <v>1404214499</v>
      </c>
      <c r="D13130">
        <v>15128.1</v>
      </c>
    </row>
    <row r="13131" spans="1:4" hidden="1" x14ac:dyDescent="0.25">
      <c r="A13131" t="s">
        <v>715</v>
      </c>
      <c r="B13131" t="s">
        <v>31</v>
      </c>
      <c r="C13131" s="2">
        <f>HYPERLINK("https://sao.dolgi.msk.ru/account/1404213859/", 1404213859)</f>
        <v>1404213859</v>
      </c>
      <c r="D13131">
        <v>-7204.17</v>
      </c>
    </row>
    <row r="13132" spans="1:4" hidden="1" x14ac:dyDescent="0.25">
      <c r="A13132" t="s">
        <v>715</v>
      </c>
      <c r="B13132" t="s">
        <v>32</v>
      </c>
      <c r="C13132" s="2">
        <f>HYPERLINK("https://sao.dolgi.msk.ru/account/1404214528/", 1404214528)</f>
        <v>1404214528</v>
      </c>
      <c r="D13132">
        <v>-8284.73</v>
      </c>
    </row>
    <row r="13133" spans="1:4" hidden="1" x14ac:dyDescent="0.25">
      <c r="A13133" t="s">
        <v>715</v>
      </c>
      <c r="B13133" t="s">
        <v>33</v>
      </c>
      <c r="C13133" s="2">
        <f>HYPERLINK("https://sao.dolgi.msk.ru/account/1404213605/", 1404213605)</f>
        <v>1404213605</v>
      </c>
      <c r="D13133">
        <v>-5126.7</v>
      </c>
    </row>
    <row r="13134" spans="1:4" hidden="1" x14ac:dyDescent="0.25">
      <c r="A13134" t="s">
        <v>715</v>
      </c>
      <c r="B13134" t="s">
        <v>34</v>
      </c>
      <c r="C13134" s="2">
        <f>HYPERLINK("https://sao.dolgi.msk.ru/account/1404213613/", 1404213613)</f>
        <v>1404213613</v>
      </c>
      <c r="D13134">
        <v>-5868.23</v>
      </c>
    </row>
    <row r="13135" spans="1:4" x14ac:dyDescent="0.25">
      <c r="A13135" t="s">
        <v>715</v>
      </c>
      <c r="B13135" t="s">
        <v>35</v>
      </c>
      <c r="C13135" s="2">
        <f>HYPERLINK("https://sao.dolgi.msk.ru/account/1404212952/", 1404212952)</f>
        <v>1404212952</v>
      </c>
      <c r="D13135">
        <v>15078.87</v>
      </c>
    </row>
    <row r="13136" spans="1:4" x14ac:dyDescent="0.25">
      <c r="A13136" t="s">
        <v>715</v>
      </c>
      <c r="B13136" t="s">
        <v>36</v>
      </c>
      <c r="C13136" s="2">
        <f>HYPERLINK("https://sao.dolgi.msk.ru/account/1404213875/", 1404213875)</f>
        <v>1404213875</v>
      </c>
      <c r="D13136">
        <v>2655.81</v>
      </c>
    </row>
    <row r="13137" spans="1:4" x14ac:dyDescent="0.25">
      <c r="A13137" t="s">
        <v>715</v>
      </c>
      <c r="B13137" t="s">
        <v>37</v>
      </c>
      <c r="C13137" s="2">
        <f>HYPERLINK("https://sao.dolgi.msk.ru/account/1404214069/", 1404214069)</f>
        <v>1404214069</v>
      </c>
      <c r="D13137">
        <v>18990.04</v>
      </c>
    </row>
    <row r="13138" spans="1:4" hidden="1" x14ac:dyDescent="0.25">
      <c r="A13138" t="s">
        <v>715</v>
      </c>
      <c r="B13138" t="s">
        <v>38</v>
      </c>
      <c r="C13138" s="2">
        <f>HYPERLINK("https://sao.dolgi.msk.ru/account/1404214077/", 1404214077)</f>
        <v>1404214077</v>
      </c>
      <c r="D13138">
        <v>-8002.36</v>
      </c>
    </row>
    <row r="13139" spans="1:4" hidden="1" x14ac:dyDescent="0.25">
      <c r="A13139" t="s">
        <v>715</v>
      </c>
      <c r="B13139" t="s">
        <v>39</v>
      </c>
      <c r="C13139" s="2">
        <f>HYPERLINK("https://sao.dolgi.msk.ru/account/1404213728/", 1404213728)</f>
        <v>1404213728</v>
      </c>
      <c r="D13139">
        <v>-14830.54</v>
      </c>
    </row>
    <row r="13140" spans="1:4" hidden="1" x14ac:dyDescent="0.25">
      <c r="A13140" t="s">
        <v>715</v>
      </c>
      <c r="B13140" t="s">
        <v>40</v>
      </c>
      <c r="C13140" s="2">
        <f>HYPERLINK("https://sao.dolgi.msk.ru/account/1404212936/", 1404212936)</f>
        <v>1404212936</v>
      </c>
      <c r="D13140">
        <v>-2800.11</v>
      </c>
    </row>
    <row r="13141" spans="1:4" x14ac:dyDescent="0.25">
      <c r="A13141" t="s">
        <v>715</v>
      </c>
      <c r="B13141" t="s">
        <v>41</v>
      </c>
      <c r="C13141" s="2">
        <f>HYPERLINK("https://sao.dolgi.msk.ru/account/1404214085/", 1404214085)</f>
        <v>1404214085</v>
      </c>
      <c r="D13141">
        <v>12741.09</v>
      </c>
    </row>
    <row r="13142" spans="1:4" hidden="1" x14ac:dyDescent="0.25">
      <c r="A13142" t="s">
        <v>715</v>
      </c>
      <c r="B13142" t="s">
        <v>42</v>
      </c>
      <c r="C13142" s="2">
        <f>HYPERLINK("https://sao.dolgi.msk.ru/account/1404213883/", 1404213883)</f>
        <v>1404213883</v>
      </c>
      <c r="D13142">
        <v>-18163.88</v>
      </c>
    </row>
    <row r="13143" spans="1:4" x14ac:dyDescent="0.25">
      <c r="A13143" t="s">
        <v>715</v>
      </c>
      <c r="B13143" t="s">
        <v>43</v>
      </c>
      <c r="C13143" s="2">
        <f>HYPERLINK("https://sao.dolgi.msk.ru/account/1404213234/", 1404213234)</f>
        <v>1404213234</v>
      </c>
      <c r="D13143">
        <v>9926.65</v>
      </c>
    </row>
    <row r="13144" spans="1:4" hidden="1" x14ac:dyDescent="0.25">
      <c r="A13144" t="s">
        <v>715</v>
      </c>
      <c r="B13144" t="s">
        <v>44</v>
      </c>
      <c r="C13144" s="2">
        <f>HYPERLINK("https://sao.dolgi.msk.ru/account/1404213891/", 1404213891)</f>
        <v>1404213891</v>
      </c>
      <c r="D13144">
        <v>-4636.03</v>
      </c>
    </row>
    <row r="13145" spans="1:4" x14ac:dyDescent="0.25">
      <c r="A13145" t="s">
        <v>715</v>
      </c>
      <c r="B13145" t="s">
        <v>45</v>
      </c>
      <c r="C13145" s="2">
        <f>HYPERLINK("https://sao.dolgi.msk.ru/account/1404214181/", 1404214181)</f>
        <v>1404214181</v>
      </c>
      <c r="D13145">
        <v>796.46</v>
      </c>
    </row>
    <row r="13146" spans="1:4" hidden="1" x14ac:dyDescent="0.25">
      <c r="A13146" t="s">
        <v>715</v>
      </c>
      <c r="B13146" t="s">
        <v>46</v>
      </c>
      <c r="C13146" s="2">
        <f>HYPERLINK("https://sao.dolgi.msk.ru/account/1404214202/", 1404214202)</f>
        <v>1404214202</v>
      </c>
      <c r="D13146">
        <v>0</v>
      </c>
    </row>
    <row r="13147" spans="1:4" x14ac:dyDescent="0.25">
      <c r="A13147" t="s">
        <v>715</v>
      </c>
      <c r="B13147" t="s">
        <v>47</v>
      </c>
      <c r="C13147" s="2">
        <f>HYPERLINK("https://sao.dolgi.msk.ru/account/1404213832/", 1404213832)</f>
        <v>1404213832</v>
      </c>
      <c r="D13147">
        <v>1648.08</v>
      </c>
    </row>
    <row r="13148" spans="1:4" hidden="1" x14ac:dyDescent="0.25">
      <c r="A13148" t="s">
        <v>715</v>
      </c>
      <c r="B13148" t="s">
        <v>48</v>
      </c>
      <c r="C13148" s="2">
        <f>HYPERLINK("https://sao.dolgi.msk.ru/account/1404214237/", 1404214237)</f>
        <v>1404214237</v>
      </c>
      <c r="D13148">
        <v>-10784.97</v>
      </c>
    </row>
    <row r="13149" spans="1:4" x14ac:dyDescent="0.25">
      <c r="A13149" t="s">
        <v>715</v>
      </c>
      <c r="B13149" t="s">
        <v>49</v>
      </c>
      <c r="C13149" s="2">
        <f>HYPERLINK("https://sao.dolgi.msk.ru/account/1404212979/", 1404212979)</f>
        <v>1404212979</v>
      </c>
      <c r="D13149">
        <v>6323.64</v>
      </c>
    </row>
    <row r="13150" spans="1:4" x14ac:dyDescent="0.25">
      <c r="A13150" t="s">
        <v>715</v>
      </c>
      <c r="B13150" t="s">
        <v>50</v>
      </c>
      <c r="C13150" s="2">
        <f>HYPERLINK("https://sao.dolgi.msk.ru/account/1404212987/", 1404212987)</f>
        <v>1404212987</v>
      </c>
      <c r="D13150">
        <v>13174.9</v>
      </c>
    </row>
    <row r="13151" spans="1:4" hidden="1" x14ac:dyDescent="0.25">
      <c r="A13151" t="s">
        <v>715</v>
      </c>
      <c r="B13151" t="s">
        <v>51</v>
      </c>
      <c r="C13151" s="2">
        <f>HYPERLINK("https://sao.dolgi.msk.ru/account/1404213998/", 1404213998)</f>
        <v>1404213998</v>
      </c>
      <c r="D13151">
        <v>-4268.1499999999996</v>
      </c>
    </row>
    <row r="13152" spans="1:4" hidden="1" x14ac:dyDescent="0.25">
      <c r="A13152" t="s">
        <v>715</v>
      </c>
      <c r="B13152" t="s">
        <v>52</v>
      </c>
      <c r="C13152" s="2">
        <f>HYPERLINK("https://sao.dolgi.msk.ru/account/1404213816/", 1404213816)</f>
        <v>1404213816</v>
      </c>
      <c r="D13152">
        <v>0</v>
      </c>
    </row>
    <row r="13153" spans="1:4" hidden="1" x14ac:dyDescent="0.25">
      <c r="A13153" t="s">
        <v>715</v>
      </c>
      <c r="B13153" t="s">
        <v>53</v>
      </c>
      <c r="C13153" s="2">
        <f>HYPERLINK("https://sao.dolgi.msk.ru/account/1404214245/", 1404214245)</f>
        <v>1404214245</v>
      </c>
      <c r="D13153">
        <v>0</v>
      </c>
    </row>
    <row r="13154" spans="1:4" x14ac:dyDescent="0.25">
      <c r="A13154" t="s">
        <v>715</v>
      </c>
      <c r="B13154" t="s">
        <v>54</v>
      </c>
      <c r="C13154" s="2">
        <f>HYPERLINK("https://sao.dolgi.msk.ru/account/1404213584/", 1404213584)</f>
        <v>1404213584</v>
      </c>
      <c r="D13154">
        <v>25335.599999999999</v>
      </c>
    </row>
    <row r="13155" spans="1:4" hidden="1" x14ac:dyDescent="0.25">
      <c r="A13155" t="s">
        <v>715</v>
      </c>
      <c r="B13155" t="s">
        <v>55</v>
      </c>
      <c r="C13155" s="2">
        <f>HYPERLINK("https://sao.dolgi.msk.ru/account/1404213306/", 1404213306)</f>
        <v>1404213306</v>
      </c>
      <c r="D13155">
        <v>-9627.76</v>
      </c>
    </row>
    <row r="13156" spans="1:4" hidden="1" x14ac:dyDescent="0.25">
      <c r="A13156" t="s">
        <v>715</v>
      </c>
      <c r="B13156" t="s">
        <v>56</v>
      </c>
      <c r="C13156" s="2">
        <f>HYPERLINK("https://sao.dolgi.msk.ru/account/1404212848/", 1404212848)</f>
        <v>1404212848</v>
      </c>
      <c r="D13156">
        <v>-6588.41</v>
      </c>
    </row>
    <row r="13157" spans="1:4" hidden="1" x14ac:dyDescent="0.25">
      <c r="A13157" t="s">
        <v>715</v>
      </c>
      <c r="B13157" t="s">
        <v>57</v>
      </c>
      <c r="C13157" s="2">
        <f>HYPERLINK("https://sao.dolgi.msk.ru/account/1404213437/", 1404213437)</f>
        <v>1404213437</v>
      </c>
      <c r="D13157">
        <v>-9279.23</v>
      </c>
    </row>
    <row r="13158" spans="1:4" hidden="1" x14ac:dyDescent="0.25">
      <c r="A13158" t="s">
        <v>715</v>
      </c>
      <c r="B13158" t="s">
        <v>58</v>
      </c>
      <c r="C13158" s="2">
        <f>HYPERLINK("https://sao.dolgi.msk.ru/account/1404213445/", 1404213445)</f>
        <v>1404213445</v>
      </c>
      <c r="D13158">
        <v>-4355.32</v>
      </c>
    </row>
    <row r="13159" spans="1:4" hidden="1" x14ac:dyDescent="0.25">
      <c r="A13159" t="s">
        <v>715</v>
      </c>
      <c r="B13159" t="s">
        <v>59</v>
      </c>
      <c r="C13159" s="2">
        <f>HYPERLINK("https://sao.dolgi.msk.ru/account/1404213058/", 1404213058)</f>
        <v>1404213058</v>
      </c>
      <c r="D13159">
        <v>-4125.63</v>
      </c>
    </row>
    <row r="13160" spans="1:4" hidden="1" x14ac:dyDescent="0.25">
      <c r="A13160" t="s">
        <v>715</v>
      </c>
      <c r="B13160" t="s">
        <v>60</v>
      </c>
      <c r="C13160" s="2">
        <f>HYPERLINK("https://sao.dolgi.msk.ru/account/1404213752/", 1404213752)</f>
        <v>1404213752</v>
      </c>
      <c r="D13160">
        <v>-7612.16</v>
      </c>
    </row>
    <row r="13161" spans="1:4" x14ac:dyDescent="0.25">
      <c r="A13161" t="s">
        <v>715</v>
      </c>
      <c r="B13161" t="s">
        <v>61</v>
      </c>
      <c r="C13161" s="2">
        <f>HYPERLINK("https://sao.dolgi.msk.ru/account/1404212856/", 1404212856)</f>
        <v>1404212856</v>
      </c>
      <c r="D13161">
        <v>5995.39</v>
      </c>
    </row>
    <row r="13162" spans="1:4" hidden="1" x14ac:dyDescent="0.25">
      <c r="A13162" t="s">
        <v>715</v>
      </c>
      <c r="B13162" t="s">
        <v>62</v>
      </c>
      <c r="C13162" s="2">
        <f>HYPERLINK("https://sao.dolgi.msk.ru/account/1404213066/", 1404213066)</f>
        <v>1404213066</v>
      </c>
      <c r="D13162">
        <v>-6264.16</v>
      </c>
    </row>
    <row r="13163" spans="1:4" hidden="1" x14ac:dyDescent="0.25">
      <c r="A13163" t="s">
        <v>715</v>
      </c>
      <c r="B13163" t="s">
        <v>63</v>
      </c>
      <c r="C13163" s="2">
        <f>HYPERLINK("https://sao.dolgi.msk.ru/account/1404213453/", 1404213453)</f>
        <v>1404213453</v>
      </c>
      <c r="D13163">
        <v>0</v>
      </c>
    </row>
    <row r="13164" spans="1:4" hidden="1" x14ac:dyDescent="0.25">
      <c r="A13164" t="s">
        <v>715</v>
      </c>
      <c r="B13164" t="s">
        <v>64</v>
      </c>
      <c r="C13164" s="2">
        <f>HYPERLINK("https://sao.dolgi.msk.ru/account/1404213664/", 1404213664)</f>
        <v>1404213664</v>
      </c>
      <c r="D13164">
        <v>-3390.99</v>
      </c>
    </row>
    <row r="13165" spans="1:4" x14ac:dyDescent="0.25">
      <c r="A13165" t="s">
        <v>715</v>
      </c>
      <c r="B13165" t="s">
        <v>65</v>
      </c>
      <c r="C13165" s="2">
        <f>HYPERLINK("https://sao.dolgi.msk.ru/account/1404213074/", 1404213074)</f>
        <v>1404213074</v>
      </c>
      <c r="D13165">
        <v>8354.2800000000007</v>
      </c>
    </row>
    <row r="13166" spans="1:4" hidden="1" x14ac:dyDescent="0.25">
      <c r="A13166" t="s">
        <v>715</v>
      </c>
      <c r="B13166" t="s">
        <v>66</v>
      </c>
      <c r="C13166" s="2">
        <f>HYPERLINK("https://sao.dolgi.msk.ru/account/1404213082/", 1404213082)</f>
        <v>1404213082</v>
      </c>
      <c r="D13166">
        <v>-7199.2</v>
      </c>
    </row>
    <row r="13167" spans="1:4" hidden="1" x14ac:dyDescent="0.25">
      <c r="A13167" t="s">
        <v>715</v>
      </c>
      <c r="B13167" t="s">
        <v>67</v>
      </c>
      <c r="C13167" s="2">
        <f>HYPERLINK("https://sao.dolgi.msk.ru/account/1404214325/", 1404214325)</f>
        <v>1404214325</v>
      </c>
      <c r="D13167">
        <v>0</v>
      </c>
    </row>
    <row r="13168" spans="1:4" hidden="1" x14ac:dyDescent="0.25">
      <c r="A13168" t="s">
        <v>715</v>
      </c>
      <c r="B13168" t="s">
        <v>68</v>
      </c>
      <c r="C13168" s="2">
        <f>HYPERLINK("https://sao.dolgi.msk.ru/account/1404213701/", 1404213701)</f>
        <v>1404213701</v>
      </c>
      <c r="D13168">
        <v>-10784.05</v>
      </c>
    </row>
    <row r="13169" spans="1:4" hidden="1" x14ac:dyDescent="0.25">
      <c r="A13169" t="s">
        <v>715</v>
      </c>
      <c r="B13169" t="s">
        <v>69</v>
      </c>
      <c r="C13169" s="2">
        <f>HYPERLINK("https://sao.dolgi.msk.ru/account/1404213672/", 1404213672)</f>
        <v>1404213672</v>
      </c>
      <c r="D13169">
        <v>-4364.28</v>
      </c>
    </row>
    <row r="13170" spans="1:4" hidden="1" x14ac:dyDescent="0.25">
      <c r="A13170" t="s">
        <v>715</v>
      </c>
      <c r="B13170" t="s">
        <v>70</v>
      </c>
      <c r="C13170" s="2">
        <f>HYPERLINK("https://sao.dolgi.msk.ru/account/1404214456/", 1404214456)</f>
        <v>1404214456</v>
      </c>
      <c r="D13170">
        <v>-5851.82</v>
      </c>
    </row>
    <row r="13171" spans="1:4" hidden="1" x14ac:dyDescent="0.25">
      <c r="A13171" t="s">
        <v>715</v>
      </c>
      <c r="B13171" t="s">
        <v>71</v>
      </c>
      <c r="C13171" s="2">
        <f>HYPERLINK("https://sao.dolgi.msk.ru/account/1404214333/", 1404214333)</f>
        <v>1404214333</v>
      </c>
      <c r="D13171">
        <v>0.1</v>
      </c>
    </row>
    <row r="13172" spans="1:4" hidden="1" x14ac:dyDescent="0.25">
      <c r="A13172" t="s">
        <v>715</v>
      </c>
      <c r="B13172" t="s">
        <v>72</v>
      </c>
      <c r="C13172" s="2">
        <f>HYPERLINK("https://sao.dolgi.msk.ru/account/1404213103/", 1404213103)</f>
        <v>1404213103</v>
      </c>
      <c r="D13172">
        <v>0</v>
      </c>
    </row>
    <row r="13173" spans="1:4" x14ac:dyDescent="0.25">
      <c r="A13173" t="s">
        <v>715</v>
      </c>
      <c r="B13173" t="s">
        <v>73</v>
      </c>
      <c r="C13173" s="2">
        <f>HYPERLINK("https://sao.dolgi.msk.ru/account/1404213795/", 1404213795)</f>
        <v>1404213795</v>
      </c>
      <c r="D13173">
        <v>2359.31</v>
      </c>
    </row>
    <row r="13174" spans="1:4" x14ac:dyDescent="0.25">
      <c r="A13174" t="s">
        <v>715</v>
      </c>
      <c r="B13174" t="s">
        <v>74</v>
      </c>
      <c r="C13174" s="2">
        <f>HYPERLINK("https://sao.dolgi.msk.ru/account/1404213648/", 1404213648)</f>
        <v>1404213648</v>
      </c>
      <c r="D13174">
        <v>3280.2</v>
      </c>
    </row>
    <row r="13175" spans="1:4" hidden="1" x14ac:dyDescent="0.25">
      <c r="A13175" t="s">
        <v>715</v>
      </c>
      <c r="B13175" t="s">
        <v>75</v>
      </c>
      <c r="C13175" s="2">
        <f>HYPERLINK("https://sao.dolgi.msk.ru/account/1404214464/", 1404214464)</f>
        <v>1404214464</v>
      </c>
      <c r="D13175">
        <v>0</v>
      </c>
    </row>
    <row r="13176" spans="1:4" hidden="1" x14ac:dyDescent="0.25">
      <c r="A13176" t="s">
        <v>715</v>
      </c>
      <c r="B13176" t="s">
        <v>76</v>
      </c>
      <c r="C13176" s="2">
        <f>HYPERLINK("https://sao.dolgi.msk.ru/account/1404213189/", 1404213189)</f>
        <v>1404213189</v>
      </c>
      <c r="D13176">
        <v>0</v>
      </c>
    </row>
    <row r="13177" spans="1:4" hidden="1" x14ac:dyDescent="0.25">
      <c r="A13177" t="s">
        <v>715</v>
      </c>
      <c r="B13177" t="s">
        <v>77</v>
      </c>
      <c r="C13177" s="2">
        <f>HYPERLINK("https://sao.dolgi.msk.ru/account/1404214165/", 1404214165)</f>
        <v>1404214165</v>
      </c>
      <c r="D13177">
        <v>0</v>
      </c>
    </row>
    <row r="13178" spans="1:4" hidden="1" x14ac:dyDescent="0.25">
      <c r="A13178" t="s">
        <v>715</v>
      </c>
      <c r="B13178" t="s">
        <v>78</v>
      </c>
      <c r="C13178" s="2">
        <f>HYPERLINK("https://sao.dolgi.msk.ru/account/1404213808/", 1404213808)</f>
        <v>1404213808</v>
      </c>
      <c r="D13178">
        <v>-9160.3700000000008</v>
      </c>
    </row>
    <row r="13179" spans="1:4" x14ac:dyDescent="0.25">
      <c r="A13179" t="s">
        <v>715</v>
      </c>
      <c r="B13179" t="s">
        <v>79</v>
      </c>
      <c r="C13179" s="2">
        <f>HYPERLINK("https://sao.dolgi.msk.ru/account/1404214173/", 1404214173)</f>
        <v>1404214173</v>
      </c>
      <c r="D13179">
        <v>4914.09</v>
      </c>
    </row>
    <row r="13180" spans="1:4" hidden="1" x14ac:dyDescent="0.25">
      <c r="A13180" t="s">
        <v>715</v>
      </c>
      <c r="B13180" t="s">
        <v>80</v>
      </c>
      <c r="C13180" s="2">
        <f>HYPERLINK("https://sao.dolgi.msk.ru/account/1404212928/", 1404212928)</f>
        <v>1404212928</v>
      </c>
      <c r="D13180">
        <v>-5482.52</v>
      </c>
    </row>
    <row r="13181" spans="1:4" hidden="1" x14ac:dyDescent="0.25">
      <c r="A13181" t="s">
        <v>715</v>
      </c>
      <c r="B13181" t="s">
        <v>81</v>
      </c>
      <c r="C13181" s="2">
        <f>HYPERLINK("https://sao.dolgi.msk.ru/account/1404213461/", 1404213461)</f>
        <v>1404213461</v>
      </c>
      <c r="D13181">
        <v>-2936.46</v>
      </c>
    </row>
    <row r="13182" spans="1:4" hidden="1" x14ac:dyDescent="0.25">
      <c r="A13182" t="s">
        <v>715</v>
      </c>
      <c r="B13182" t="s">
        <v>82</v>
      </c>
      <c r="C13182" s="2">
        <f>HYPERLINK("https://sao.dolgi.msk.ru/account/1404213904/", 1404213904)</f>
        <v>1404213904</v>
      </c>
      <c r="D13182">
        <v>-4815.3</v>
      </c>
    </row>
    <row r="13183" spans="1:4" x14ac:dyDescent="0.25">
      <c r="A13183" t="s">
        <v>715</v>
      </c>
      <c r="B13183" t="s">
        <v>83</v>
      </c>
      <c r="C13183" s="2">
        <f>HYPERLINK("https://sao.dolgi.msk.ru/account/1404213963/", 1404213963)</f>
        <v>1404213963</v>
      </c>
      <c r="D13183">
        <v>21940.54</v>
      </c>
    </row>
    <row r="13184" spans="1:4" hidden="1" x14ac:dyDescent="0.25">
      <c r="A13184" t="s">
        <v>715</v>
      </c>
      <c r="B13184" t="s">
        <v>84</v>
      </c>
      <c r="C13184" s="2">
        <f>HYPERLINK("https://sao.dolgi.msk.ru/account/1404213373/", 1404213373)</f>
        <v>1404213373</v>
      </c>
      <c r="D13184">
        <v>0</v>
      </c>
    </row>
    <row r="13185" spans="1:4" hidden="1" x14ac:dyDescent="0.25">
      <c r="A13185" t="s">
        <v>715</v>
      </c>
      <c r="B13185" t="s">
        <v>85</v>
      </c>
      <c r="C13185" s="2">
        <f>HYPERLINK("https://sao.dolgi.msk.ru/account/1404213971/", 1404213971)</f>
        <v>1404213971</v>
      </c>
      <c r="D13185">
        <v>-7087.66</v>
      </c>
    </row>
    <row r="13186" spans="1:4" x14ac:dyDescent="0.25">
      <c r="A13186" t="s">
        <v>715</v>
      </c>
      <c r="B13186" t="s">
        <v>86</v>
      </c>
      <c r="C13186" s="2">
        <f>HYPERLINK("https://sao.dolgi.msk.ru/account/1404214368/", 1404214368)</f>
        <v>1404214368</v>
      </c>
      <c r="D13186">
        <v>16241.77</v>
      </c>
    </row>
    <row r="13187" spans="1:4" hidden="1" x14ac:dyDescent="0.25">
      <c r="A13187" t="s">
        <v>715</v>
      </c>
      <c r="B13187" t="s">
        <v>87</v>
      </c>
      <c r="C13187" s="2">
        <f>HYPERLINK("https://sao.dolgi.msk.ru/account/1404214296/", 1404214296)</f>
        <v>1404214296</v>
      </c>
      <c r="D13187">
        <v>-4061.57</v>
      </c>
    </row>
    <row r="13188" spans="1:4" hidden="1" x14ac:dyDescent="0.25">
      <c r="A13188" t="s">
        <v>715</v>
      </c>
      <c r="B13188" t="s">
        <v>88</v>
      </c>
      <c r="C13188" s="2">
        <f>HYPERLINK("https://sao.dolgi.msk.ru/account/1404213525/", 1404213525)</f>
        <v>1404213525</v>
      </c>
      <c r="D13188">
        <v>-6615.47</v>
      </c>
    </row>
    <row r="13189" spans="1:4" hidden="1" x14ac:dyDescent="0.25">
      <c r="A13189" t="s">
        <v>715</v>
      </c>
      <c r="B13189" t="s">
        <v>89</v>
      </c>
      <c r="C13189" s="2">
        <f>HYPERLINK("https://sao.dolgi.msk.ru/account/1404213736/", 1404213736)</f>
        <v>1404213736</v>
      </c>
      <c r="D13189">
        <v>0</v>
      </c>
    </row>
    <row r="13190" spans="1:4" hidden="1" x14ac:dyDescent="0.25">
      <c r="A13190" t="s">
        <v>715</v>
      </c>
      <c r="B13190" t="s">
        <v>90</v>
      </c>
      <c r="C13190" s="2">
        <f>HYPERLINK("https://sao.dolgi.msk.ru/account/1404214149/", 1404214149)</f>
        <v>1404214149</v>
      </c>
      <c r="D13190">
        <v>0</v>
      </c>
    </row>
    <row r="13191" spans="1:4" hidden="1" x14ac:dyDescent="0.25">
      <c r="A13191" t="s">
        <v>715</v>
      </c>
      <c r="B13191" t="s">
        <v>91</v>
      </c>
      <c r="C13191" s="2">
        <f>HYPERLINK("https://sao.dolgi.msk.ru/account/1404213322/", 1404213322)</f>
        <v>1404213322</v>
      </c>
      <c r="D13191">
        <v>-13222.12</v>
      </c>
    </row>
    <row r="13192" spans="1:4" hidden="1" x14ac:dyDescent="0.25">
      <c r="A13192" t="s">
        <v>715</v>
      </c>
      <c r="B13192" t="s">
        <v>92</v>
      </c>
      <c r="C13192" s="2">
        <f>HYPERLINK("https://sao.dolgi.msk.ru/account/1404213939/", 1404213939)</f>
        <v>1404213939</v>
      </c>
      <c r="D13192">
        <v>-6552.72</v>
      </c>
    </row>
    <row r="13193" spans="1:4" hidden="1" x14ac:dyDescent="0.25">
      <c r="A13193" t="s">
        <v>715</v>
      </c>
      <c r="B13193" t="s">
        <v>93</v>
      </c>
      <c r="C13193" s="2">
        <f>HYPERLINK("https://sao.dolgi.msk.ru/account/1404213269/", 1404213269)</f>
        <v>1404213269</v>
      </c>
      <c r="D13193">
        <v>-5554.52</v>
      </c>
    </row>
    <row r="13194" spans="1:4" hidden="1" x14ac:dyDescent="0.25">
      <c r="A13194" t="s">
        <v>715</v>
      </c>
      <c r="B13194" t="s">
        <v>94</v>
      </c>
      <c r="C13194" s="2">
        <f>HYPERLINK("https://sao.dolgi.msk.ru/account/1404213277/", 1404213277)</f>
        <v>1404213277</v>
      </c>
      <c r="D13194">
        <v>-2706.6</v>
      </c>
    </row>
    <row r="13195" spans="1:4" hidden="1" x14ac:dyDescent="0.25">
      <c r="A13195" t="s">
        <v>715</v>
      </c>
      <c r="B13195" t="s">
        <v>95</v>
      </c>
      <c r="C13195" s="2">
        <f>HYPERLINK("https://sao.dolgi.msk.ru/account/1404213947/", 1404213947)</f>
        <v>1404213947</v>
      </c>
      <c r="D13195">
        <v>0</v>
      </c>
    </row>
    <row r="13196" spans="1:4" hidden="1" x14ac:dyDescent="0.25">
      <c r="A13196" t="s">
        <v>715</v>
      </c>
      <c r="B13196" t="s">
        <v>96</v>
      </c>
      <c r="C13196" s="2">
        <f>HYPERLINK("https://sao.dolgi.msk.ru/account/1404214376/", 1404214376)</f>
        <v>1404214376</v>
      </c>
      <c r="D13196">
        <v>-18410.37</v>
      </c>
    </row>
    <row r="13197" spans="1:4" hidden="1" x14ac:dyDescent="0.25">
      <c r="A13197" t="s">
        <v>715</v>
      </c>
      <c r="B13197" t="s">
        <v>97</v>
      </c>
      <c r="C13197" s="2">
        <f>HYPERLINK("https://sao.dolgi.msk.ru/account/1404212864/", 1404212864)</f>
        <v>1404212864</v>
      </c>
      <c r="D13197">
        <v>-8655.61</v>
      </c>
    </row>
    <row r="13198" spans="1:4" x14ac:dyDescent="0.25">
      <c r="A13198" t="s">
        <v>715</v>
      </c>
      <c r="B13198" t="s">
        <v>98</v>
      </c>
      <c r="C13198" s="2">
        <f>HYPERLINK("https://sao.dolgi.msk.ru/account/1404213111/", 1404213111)</f>
        <v>1404213111</v>
      </c>
      <c r="D13198">
        <v>10867.22</v>
      </c>
    </row>
    <row r="13199" spans="1:4" hidden="1" x14ac:dyDescent="0.25">
      <c r="A13199" t="s">
        <v>715</v>
      </c>
      <c r="B13199" t="s">
        <v>99</v>
      </c>
      <c r="C13199" s="2">
        <f>HYPERLINK("https://sao.dolgi.msk.ru/account/1404213533/", 1404213533)</f>
        <v>1404213533</v>
      </c>
      <c r="D13199">
        <v>-1994.13</v>
      </c>
    </row>
    <row r="13200" spans="1:4" hidden="1" x14ac:dyDescent="0.25">
      <c r="A13200" t="s">
        <v>715</v>
      </c>
      <c r="B13200" t="s">
        <v>100</v>
      </c>
      <c r="C13200" s="2">
        <f>HYPERLINK("https://sao.dolgi.msk.ru/account/1404213541/", 1404213541)</f>
        <v>1404213541</v>
      </c>
      <c r="D13200">
        <v>-5420.18</v>
      </c>
    </row>
    <row r="13201" spans="1:4" hidden="1" x14ac:dyDescent="0.25">
      <c r="A13201" t="s">
        <v>715</v>
      </c>
      <c r="B13201" t="s">
        <v>101</v>
      </c>
      <c r="C13201" s="2">
        <f>HYPERLINK("https://sao.dolgi.msk.ru/account/1404213138/", 1404213138)</f>
        <v>1404213138</v>
      </c>
      <c r="D13201">
        <v>0</v>
      </c>
    </row>
    <row r="13202" spans="1:4" hidden="1" x14ac:dyDescent="0.25">
      <c r="A13202" t="s">
        <v>715</v>
      </c>
      <c r="B13202" t="s">
        <v>102</v>
      </c>
      <c r="C13202" s="2">
        <f>HYPERLINK("https://sao.dolgi.msk.ru/account/1404213744/", 1404213744)</f>
        <v>1404213744</v>
      </c>
      <c r="D13202">
        <v>-8674.7099999999991</v>
      </c>
    </row>
    <row r="13203" spans="1:4" hidden="1" x14ac:dyDescent="0.25">
      <c r="A13203" t="s">
        <v>715</v>
      </c>
      <c r="B13203" t="s">
        <v>103</v>
      </c>
      <c r="C13203" s="2">
        <f>HYPERLINK("https://sao.dolgi.msk.ru/account/1404212872/", 1404212872)</f>
        <v>1404212872</v>
      </c>
      <c r="D13203">
        <v>-8680.0499999999993</v>
      </c>
    </row>
    <row r="13204" spans="1:4" x14ac:dyDescent="0.25">
      <c r="A13204" t="s">
        <v>715</v>
      </c>
      <c r="B13204" t="s">
        <v>104</v>
      </c>
      <c r="C13204" s="2">
        <f>HYPERLINK("https://sao.dolgi.msk.ru/account/1404213349/", 1404213349)</f>
        <v>1404213349</v>
      </c>
      <c r="D13204">
        <v>19142.8</v>
      </c>
    </row>
    <row r="13205" spans="1:4" x14ac:dyDescent="0.25">
      <c r="A13205" t="s">
        <v>715</v>
      </c>
      <c r="B13205" t="s">
        <v>105</v>
      </c>
      <c r="C13205" s="2">
        <f>HYPERLINK("https://sao.dolgi.msk.ru/account/1404214093/", 1404214093)</f>
        <v>1404214093</v>
      </c>
      <c r="D13205">
        <v>15266.73</v>
      </c>
    </row>
    <row r="13206" spans="1:4" hidden="1" x14ac:dyDescent="0.25">
      <c r="A13206" t="s">
        <v>715</v>
      </c>
      <c r="B13206" t="s">
        <v>106</v>
      </c>
      <c r="C13206" s="2">
        <f>HYPERLINK("https://sao.dolgi.msk.ru/account/1404214309/", 1404214309)</f>
        <v>1404214309</v>
      </c>
      <c r="D13206">
        <v>-2652.55</v>
      </c>
    </row>
    <row r="13207" spans="1:4" hidden="1" x14ac:dyDescent="0.25">
      <c r="A13207" t="s">
        <v>715</v>
      </c>
      <c r="B13207" t="s">
        <v>107</v>
      </c>
      <c r="C13207" s="2">
        <f>HYPERLINK("https://sao.dolgi.msk.ru/account/1404213285/", 1404213285)</f>
        <v>1404213285</v>
      </c>
      <c r="D13207">
        <v>0</v>
      </c>
    </row>
    <row r="13208" spans="1:4" hidden="1" x14ac:dyDescent="0.25">
      <c r="A13208" t="s">
        <v>715</v>
      </c>
      <c r="B13208" t="s">
        <v>108</v>
      </c>
      <c r="C13208" s="2">
        <f>HYPERLINK("https://sao.dolgi.msk.ru/account/1404212899/", 1404212899)</f>
        <v>1404212899</v>
      </c>
      <c r="D13208">
        <v>-6328.82</v>
      </c>
    </row>
    <row r="13209" spans="1:4" x14ac:dyDescent="0.25">
      <c r="A13209" t="s">
        <v>715</v>
      </c>
      <c r="B13209" t="s">
        <v>109</v>
      </c>
      <c r="C13209" s="2">
        <f>HYPERLINK("https://sao.dolgi.msk.ru/account/1404213357/", 1404213357)</f>
        <v>1404213357</v>
      </c>
      <c r="D13209">
        <v>5504.05</v>
      </c>
    </row>
    <row r="13210" spans="1:4" hidden="1" x14ac:dyDescent="0.25">
      <c r="A13210" t="s">
        <v>715</v>
      </c>
      <c r="B13210" t="s">
        <v>110</v>
      </c>
      <c r="C13210" s="2">
        <f>HYPERLINK("https://sao.dolgi.msk.ru/account/1404214384/", 1404214384)</f>
        <v>1404214384</v>
      </c>
      <c r="D13210">
        <v>-6227.32</v>
      </c>
    </row>
    <row r="13211" spans="1:4" hidden="1" x14ac:dyDescent="0.25">
      <c r="A13211" t="s">
        <v>715</v>
      </c>
      <c r="B13211" t="s">
        <v>111</v>
      </c>
      <c r="C13211" s="2">
        <f>HYPERLINK("https://sao.dolgi.msk.ru/account/1404213568/", 1404213568)</f>
        <v>1404213568</v>
      </c>
      <c r="D13211">
        <v>-4778.17</v>
      </c>
    </row>
    <row r="13212" spans="1:4" hidden="1" x14ac:dyDescent="0.25">
      <c r="A13212" t="s">
        <v>715</v>
      </c>
      <c r="B13212" t="s">
        <v>112</v>
      </c>
      <c r="C13212" s="2">
        <f>HYPERLINK("https://sao.dolgi.msk.ru/account/1404214106/", 1404214106)</f>
        <v>1404214106</v>
      </c>
      <c r="D13212">
        <v>-5255.45</v>
      </c>
    </row>
    <row r="13213" spans="1:4" x14ac:dyDescent="0.25">
      <c r="A13213" t="s">
        <v>715</v>
      </c>
      <c r="B13213" t="s">
        <v>113</v>
      </c>
      <c r="C13213" s="2">
        <f>HYPERLINK("https://sao.dolgi.msk.ru/account/1404214157/", 1404214157)</f>
        <v>1404214157</v>
      </c>
      <c r="D13213">
        <v>27131.14</v>
      </c>
    </row>
    <row r="13214" spans="1:4" hidden="1" x14ac:dyDescent="0.25">
      <c r="A13214" t="s">
        <v>715</v>
      </c>
      <c r="B13214" t="s">
        <v>114</v>
      </c>
      <c r="C13214" s="2">
        <f>HYPERLINK("https://sao.dolgi.msk.ru/account/1404214392/", 1404214392)</f>
        <v>1404214392</v>
      </c>
      <c r="D13214">
        <v>0</v>
      </c>
    </row>
    <row r="13215" spans="1:4" hidden="1" x14ac:dyDescent="0.25">
      <c r="A13215" t="s">
        <v>715</v>
      </c>
      <c r="B13215" t="s">
        <v>115</v>
      </c>
      <c r="C13215" s="2">
        <f>HYPERLINK("https://sao.dolgi.msk.ru/account/1404213955/", 1404213955)</f>
        <v>1404213955</v>
      </c>
      <c r="D13215">
        <v>-759.5</v>
      </c>
    </row>
    <row r="13216" spans="1:4" hidden="1" x14ac:dyDescent="0.25">
      <c r="A13216" t="s">
        <v>715</v>
      </c>
      <c r="B13216" t="s">
        <v>116</v>
      </c>
      <c r="C13216" s="2">
        <f>HYPERLINK("https://sao.dolgi.msk.ru/account/1404213779/", 1404213779)</f>
        <v>1404213779</v>
      </c>
      <c r="D13216">
        <v>0</v>
      </c>
    </row>
    <row r="13217" spans="1:4" hidden="1" x14ac:dyDescent="0.25">
      <c r="A13217" t="s">
        <v>715</v>
      </c>
      <c r="B13217" t="s">
        <v>117</v>
      </c>
      <c r="C13217" s="2">
        <f>HYPERLINK("https://sao.dolgi.msk.ru/account/1404214317/", 1404214317)</f>
        <v>1404214317</v>
      </c>
      <c r="D13217">
        <v>0</v>
      </c>
    </row>
    <row r="13218" spans="1:4" x14ac:dyDescent="0.25">
      <c r="A13218" t="s">
        <v>715</v>
      </c>
      <c r="B13218" t="s">
        <v>118</v>
      </c>
      <c r="C13218" s="2">
        <f>HYPERLINK("https://sao.dolgi.msk.ru/account/1404213015/", 1404213015)</f>
        <v>1404213015</v>
      </c>
      <c r="D13218">
        <v>52992.6</v>
      </c>
    </row>
    <row r="13219" spans="1:4" hidden="1" x14ac:dyDescent="0.25">
      <c r="A13219" t="s">
        <v>715</v>
      </c>
      <c r="B13219" t="s">
        <v>119</v>
      </c>
      <c r="C13219" s="2">
        <f>HYPERLINK("https://sao.dolgi.msk.ru/account/1404213146/", 1404213146)</f>
        <v>1404213146</v>
      </c>
      <c r="D13219">
        <v>-2557.9899999999998</v>
      </c>
    </row>
    <row r="13220" spans="1:4" hidden="1" x14ac:dyDescent="0.25">
      <c r="A13220" t="s">
        <v>715</v>
      </c>
      <c r="B13220" t="s">
        <v>120</v>
      </c>
      <c r="C13220" s="2">
        <f>HYPERLINK("https://sao.dolgi.msk.ru/account/1404213787/", 1404213787)</f>
        <v>1404213787</v>
      </c>
      <c r="D13220">
        <v>-8655.61</v>
      </c>
    </row>
    <row r="13221" spans="1:4" hidden="1" x14ac:dyDescent="0.25">
      <c r="A13221" t="s">
        <v>715</v>
      </c>
      <c r="B13221" t="s">
        <v>121</v>
      </c>
      <c r="C13221" s="2">
        <f>HYPERLINK("https://sao.dolgi.msk.ru/account/1404214405/", 1404214405)</f>
        <v>1404214405</v>
      </c>
      <c r="D13221">
        <v>-9320.56</v>
      </c>
    </row>
    <row r="13222" spans="1:4" hidden="1" x14ac:dyDescent="0.25">
      <c r="A13222" t="s">
        <v>715</v>
      </c>
      <c r="B13222" t="s">
        <v>122</v>
      </c>
      <c r="C13222" s="2">
        <f>HYPERLINK("https://sao.dolgi.msk.ru/account/1404213365/", 1404213365)</f>
        <v>1404213365</v>
      </c>
      <c r="D13222">
        <v>-6189.12</v>
      </c>
    </row>
    <row r="13223" spans="1:4" hidden="1" x14ac:dyDescent="0.25">
      <c r="A13223" t="s">
        <v>715</v>
      </c>
      <c r="B13223" t="s">
        <v>123</v>
      </c>
      <c r="C13223" s="2">
        <f>HYPERLINK("https://sao.dolgi.msk.ru/account/1404213381/", 1404213381)</f>
        <v>1404213381</v>
      </c>
      <c r="D13223">
        <v>-4244.62</v>
      </c>
    </row>
    <row r="13224" spans="1:4" hidden="1" x14ac:dyDescent="0.25">
      <c r="A13224" t="s">
        <v>715</v>
      </c>
      <c r="B13224" t="s">
        <v>124</v>
      </c>
      <c r="C13224" s="2">
        <f>HYPERLINK("https://sao.dolgi.msk.ru/account/1404213293/", 1404213293)</f>
        <v>1404213293</v>
      </c>
      <c r="D13224">
        <v>0</v>
      </c>
    </row>
    <row r="13225" spans="1:4" hidden="1" x14ac:dyDescent="0.25">
      <c r="A13225" t="s">
        <v>715</v>
      </c>
      <c r="B13225" t="s">
        <v>125</v>
      </c>
      <c r="C13225" s="2">
        <f>HYPERLINK("https://sao.dolgi.msk.ru/account/1404213488/", 1404213488)</f>
        <v>1404213488</v>
      </c>
      <c r="D13225">
        <v>0</v>
      </c>
    </row>
    <row r="13226" spans="1:4" hidden="1" x14ac:dyDescent="0.25">
      <c r="A13226" t="s">
        <v>715</v>
      </c>
      <c r="B13226" t="s">
        <v>126</v>
      </c>
      <c r="C13226" s="2">
        <f>HYPERLINK("https://sao.dolgi.msk.ru/account/1404212901/", 1404212901)</f>
        <v>1404212901</v>
      </c>
      <c r="D13226">
        <v>-10380.52</v>
      </c>
    </row>
    <row r="13227" spans="1:4" hidden="1" x14ac:dyDescent="0.25">
      <c r="A13227" t="s">
        <v>715</v>
      </c>
      <c r="B13227" t="s">
        <v>127</v>
      </c>
      <c r="C13227" s="2">
        <f>HYPERLINK("https://sao.dolgi.msk.ru/account/1404214026/", 1404214026)</f>
        <v>1404214026</v>
      </c>
      <c r="D13227">
        <v>-11153.7</v>
      </c>
    </row>
    <row r="13228" spans="1:4" hidden="1" x14ac:dyDescent="0.25">
      <c r="A13228" t="s">
        <v>715</v>
      </c>
      <c r="B13228" t="s">
        <v>128</v>
      </c>
      <c r="C13228" s="2">
        <f>HYPERLINK("https://sao.dolgi.msk.ru/account/1404214034/", 1404214034)</f>
        <v>1404214034</v>
      </c>
      <c r="D13228">
        <v>-7562.04</v>
      </c>
    </row>
    <row r="13229" spans="1:4" hidden="1" x14ac:dyDescent="0.25">
      <c r="A13229" t="s">
        <v>715</v>
      </c>
      <c r="B13229" t="s">
        <v>129</v>
      </c>
      <c r="C13229" s="2">
        <f>HYPERLINK("https://sao.dolgi.msk.ru/account/1404213576/", 1404213576)</f>
        <v>1404213576</v>
      </c>
      <c r="D13229">
        <v>0</v>
      </c>
    </row>
    <row r="13230" spans="1:4" hidden="1" x14ac:dyDescent="0.25">
      <c r="A13230" t="s">
        <v>715</v>
      </c>
      <c r="B13230" t="s">
        <v>130</v>
      </c>
      <c r="C13230" s="2">
        <f>HYPERLINK("https://sao.dolgi.msk.ru/account/1404213023/", 1404213023)</f>
        <v>1404213023</v>
      </c>
      <c r="D13230">
        <v>-4831.21</v>
      </c>
    </row>
    <row r="13231" spans="1:4" x14ac:dyDescent="0.25">
      <c r="A13231" t="s">
        <v>715</v>
      </c>
      <c r="B13231" t="s">
        <v>131</v>
      </c>
      <c r="C13231" s="2">
        <f>HYPERLINK("https://sao.dolgi.msk.ru/account/1404214253/", 1404214253)</f>
        <v>1404214253</v>
      </c>
      <c r="D13231">
        <v>7662.68</v>
      </c>
    </row>
    <row r="13232" spans="1:4" hidden="1" x14ac:dyDescent="0.25">
      <c r="A13232" t="s">
        <v>715</v>
      </c>
      <c r="B13232" t="s">
        <v>132</v>
      </c>
      <c r="C13232" s="2">
        <f>HYPERLINK("https://sao.dolgi.msk.ru/account/1404214261/", 1404214261)</f>
        <v>1404214261</v>
      </c>
      <c r="D13232">
        <v>0</v>
      </c>
    </row>
    <row r="13233" spans="1:4" hidden="1" x14ac:dyDescent="0.25">
      <c r="A13233" t="s">
        <v>715</v>
      </c>
      <c r="B13233" t="s">
        <v>133</v>
      </c>
      <c r="C13233" s="2">
        <f>HYPERLINK("https://sao.dolgi.msk.ru/account/1404213517/", 1404213517)</f>
        <v>1404213517</v>
      </c>
      <c r="D13233">
        <v>0</v>
      </c>
    </row>
    <row r="13234" spans="1:4" hidden="1" x14ac:dyDescent="0.25">
      <c r="A13234" t="s">
        <v>715</v>
      </c>
      <c r="B13234" t="s">
        <v>134</v>
      </c>
      <c r="C13234" s="2">
        <f>HYPERLINK("https://sao.dolgi.msk.ru/account/1404214472/", 1404214472)</f>
        <v>1404214472</v>
      </c>
      <c r="D13234">
        <v>0</v>
      </c>
    </row>
    <row r="13235" spans="1:4" hidden="1" x14ac:dyDescent="0.25">
      <c r="A13235" t="s">
        <v>715</v>
      </c>
      <c r="B13235" t="s">
        <v>135</v>
      </c>
      <c r="C13235" s="2">
        <f>HYPERLINK("https://sao.dolgi.msk.ru/account/1404213031/", 1404213031)</f>
        <v>1404213031</v>
      </c>
      <c r="D13235">
        <v>0</v>
      </c>
    </row>
    <row r="13236" spans="1:4" x14ac:dyDescent="0.25">
      <c r="A13236" t="s">
        <v>715</v>
      </c>
      <c r="B13236" t="s">
        <v>136</v>
      </c>
      <c r="C13236" s="2">
        <f>HYPERLINK("https://sao.dolgi.msk.ru/account/1404214536/", 1404214536)</f>
        <v>1404214536</v>
      </c>
      <c r="D13236">
        <v>5960.34</v>
      </c>
    </row>
    <row r="13237" spans="1:4" hidden="1" x14ac:dyDescent="0.25">
      <c r="A13237" t="s">
        <v>715</v>
      </c>
      <c r="B13237" t="s">
        <v>137</v>
      </c>
      <c r="C13237" s="2">
        <f>HYPERLINK("https://sao.dolgi.msk.ru/account/1404213007/", 1404213007)</f>
        <v>1404213007</v>
      </c>
      <c r="D13237">
        <v>-6251.36</v>
      </c>
    </row>
    <row r="13238" spans="1:4" hidden="1" x14ac:dyDescent="0.25">
      <c r="A13238" t="s">
        <v>715</v>
      </c>
      <c r="B13238" t="s">
        <v>138</v>
      </c>
      <c r="C13238" s="2">
        <f>HYPERLINK("https://sao.dolgi.msk.ru/account/1404213218/", 1404213218)</f>
        <v>1404213218</v>
      </c>
      <c r="D13238">
        <v>-8579.5499999999993</v>
      </c>
    </row>
    <row r="13239" spans="1:4" hidden="1" x14ac:dyDescent="0.25">
      <c r="A13239" t="s">
        <v>715</v>
      </c>
      <c r="B13239" t="s">
        <v>139</v>
      </c>
      <c r="C13239" s="2">
        <f>HYPERLINK("https://sao.dolgi.msk.ru/account/1404213226/", 1404213226)</f>
        <v>1404213226</v>
      </c>
      <c r="D13239">
        <v>-10050.61</v>
      </c>
    </row>
    <row r="13240" spans="1:4" x14ac:dyDescent="0.25">
      <c r="A13240" t="s">
        <v>715</v>
      </c>
      <c r="B13240" t="s">
        <v>140</v>
      </c>
      <c r="C13240" s="2">
        <f>HYPERLINK("https://sao.dolgi.msk.ru/account/1404214042/", 1404214042)</f>
        <v>1404214042</v>
      </c>
      <c r="D13240">
        <v>1159.78</v>
      </c>
    </row>
    <row r="13241" spans="1:4" hidden="1" x14ac:dyDescent="0.25">
      <c r="A13241" t="s">
        <v>715</v>
      </c>
      <c r="B13241" t="s">
        <v>141</v>
      </c>
      <c r="C13241" s="2">
        <f>HYPERLINK("https://sao.dolgi.msk.ru/account/1404213621/", 1404213621)</f>
        <v>1404213621</v>
      </c>
      <c r="D13241">
        <v>-2849.1</v>
      </c>
    </row>
    <row r="13242" spans="1:4" x14ac:dyDescent="0.25">
      <c r="A13242" t="s">
        <v>715</v>
      </c>
      <c r="B13242" t="s">
        <v>142</v>
      </c>
      <c r="C13242" s="2">
        <f>HYPERLINK("https://sao.dolgi.msk.ru/account/1404214413/", 1404214413)</f>
        <v>1404214413</v>
      </c>
      <c r="D13242">
        <v>16941.04</v>
      </c>
    </row>
    <row r="13243" spans="1:4" hidden="1" x14ac:dyDescent="0.25">
      <c r="A13243" t="s">
        <v>715</v>
      </c>
      <c r="B13243" t="s">
        <v>143</v>
      </c>
      <c r="C13243" s="2">
        <f>HYPERLINK("https://sao.dolgi.msk.ru/account/1404214501/", 1404214501)</f>
        <v>1404214501</v>
      </c>
      <c r="D13243">
        <v>-6368.51</v>
      </c>
    </row>
    <row r="13244" spans="1:4" hidden="1" x14ac:dyDescent="0.25">
      <c r="A13244" t="s">
        <v>715</v>
      </c>
      <c r="B13244" t="s">
        <v>144</v>
      </c>
      <c r="C13244" s="2">
        <f>HYPERLINK("https://sao.dolgi.msk.ru/account/1404213867/", 1404213867)</f>
        <v>1404213867</v>
      </c>
      <c r="D13244">
        <v>0</v>
      </c>
    </row>
    <row r="13245" spans="1:4" hidden="1" x14ac:dyDescent="0.25">
      <c r="A13245" t="s">
        <v>716</v>
      </c>
      <c r="B13245" t="s">
        <v>5</v>
      </c>
      <c r="C13245" s="2">
        <f>HYPERLINK("https://sao.dolgi.msk.ru/account/1404214552/", 1404214552)</f>
        <v>1404214552</v>
      </c>
      <c r="D13245">
        <v>-5657.48</v>
      </c>
    </row>
    <row r="13246" spans="1:4" x14ac:dyDescent="0.25">
      <c r="A13246" t="s">
        <v>716</v>
      </c>
      <c r="B13246" t="s">
        <v>6</v>
      </c>
      <c r="C13246" s="2">
        <f>HYPERLINK("https://sao.dolgi.msk.ru/account/1404215088/", 1404215088)</f>
        <v>1404215088</v>
      </c>
      <c r="D13246">
        <v>5390.76</v>
      </c>
    </row>
    <row r="13247" spans="1:4" x14ac:dyDescent="0.25">
      <c r="A13247" t="s">
        <v>716</v>
      </c>
      <c r="B13247" t="s">
        <v>7</v>
      </c>
      <c r="C13247" s="2">
        <f>HYPERLINK("https://sao.dolgi.msk.ru/account/1404214544/", 1404214544)</f>
        <v>1404214544</v>
      </c>
      <c r="D13247">
        <v>804.55</v>
      </c>
    </row>
    <row r="13248" spans="1:4" hidden="1" x14ac:dyDescent="0.25">
      <c r="A13248" t="s">
        <v>716</v>
      </c>
      <c r="B13248" t="s">
        <v>8</v>
      </c>
      <c r="C13248" s="2">
        <f>HYPERLINK("https://sao.dolgi.msk.ru/account/1404215117/", 1404215117)</f>
        <v>1404215117</v>
      </c>
      <c r="D13248">
        <v>-7193.81</v>
      </c>
    </row>
    <row r="13249" spans="1:4" x14ac:dyDescent="0.25">
      <c r="A13249" t="s">
        <v>716</v>
      </c>
      <c r="B13249" t="s">
        <v>9</v>
      </c>
      <c r="C13249" s="2">
        <f>HYPERLINK("https://sao.dolgi.msk.ru/account/1404215256/", 1404215256)</f>
        <v>1404215256</v>
      </c>
      <c r="D13249">
        <v>12210.39</v>
      </c>
    </row>
    <row r="13250" spans="1:4" hidden="1" x14ac:dyDescent="0.25">
      <c r="A13250" t="s">
        <v>716</v>
      </c>
      <c r="B13250" t="s">
        <v>10</v>
      </c>
      <c r="C13250" s="2">
        <f>HYPERLINK("https://sao.dolgi.msk.ru/account/1404215133/", 1404215133)</f>
        <v>1404215133</v>
      </c>
      <c r="D13250">
        <v>-4637.01</v>
      </c>
    </row>
    <row r="13251" spans="1:4" hidden="1" x14ac:dyDescent="0.25">
      <c r="A13251" t="s">
        <v>716</v>
      </c>
      <c r="B13251" t="s">
        <v>11</v>
      </c>
      <c r="C13251" s="2">
        <f>HYPERLINK("https://sao.dolgi.msk.ru/account/1404215141/", 1404215141)</f>
        <v>1404215141</v>
      </c>
      <c r="D13251">
        <v>-3195.52</v>
      </c>
    </row>
    <row r="13252" spans="1:4" hidden="1" x14ac:dyDescent="0.25">
      <c r="A13252" t="s">
        <v>716</v>
      </c>
      <c r="B13252" t="s">
        <v>12</v>
      </c>
      <c r="C13252" s="2">
        <f>HYPERLINK("https://sao.dolgi.msk.ru/account/1404214851/", 1404214851)</f>
        <v>1404214851</v>
      </c>
      <c r="D13252">
        <v>0</v>
      </c>
    </row>
    <row r="13253" spans="1:4" hidden="1" x14ac:dyDescent="0.25">
      <c r="A13253" t="s">
        <v>716</v>
      </c>
      <c r="B13253" t="s">
        <v>13</v>
      </c>
      <c r="C13253" s="2">
        <f>HYPERLINK("https://sao.dolgi.msk.ru/account/1404214659/", 1404214659)</f>
        <v>1404214659</v>
      </c>
      <c r="D13253">
        <v>-3745.96</v>
      </c>
    </row>
    <row r="13254" spans="1:4" hidden="1" x14ac:dyDescent="0.25">
      <c r="A13254" t="s">
        <v>716</v>
      </c>
      <c r="B13254" t="s">
        <v>14</v>
      </c>
      <c r="C13254" s="2">
        <f>HYPERLINK("https://sao.dolgi.msk.ru/account/1404214579/", 1404214579)</f>
        <v>1404214579</v>
      </c>
      <c r="D13254">
        <v>-6870.04</v>
      </c>
    </row>
    <row r="13255" spans="1:4" hidden="1" x14ac:dyDescent="0.25">
      <c r="A13255" t="s">
        <v>716</v>
      </c>
      <c r="B13255" t="s">
        <v>15</v>
      </c>
      <c r="C13255" s="2">
        <f>HYPERLINK("https://sao.dolgi.msk.ru/account/1404215328/", 1404215328)</f>
        <v>1404215328</v>
      </c>
      <c r="D13255">
        <v>0</v>
      </c>
    </row>
    <row r="13256" spans="1:4" hidden="1" x14ac:dyDescent="0.25">
      <c r="A13256" t="s">
        <v>716</v>
      </c>
      <c r="B13256" t="s">
        <v>16</v>
      </c>
      <c r="C13256" s="2">
        <f>HYPERLINK("https://sao.dolgi.msk.ru/account/1404215336/", 1404215336)</f>
        <v>1404215336</v>
      </c>
      <c r="D13256">
        <v>0</v>
      </c>
    </row>
    <row r="13257" spans="1:4" hidden="1" x14ac:dyDescent="0.25">
      <c r="A13257" t="s">
        <v>716</v>
      </c>
      <c r="B13257" t="s">
        <v>17</v>
      </c>
      <c r="C13257" s="2">
        <f>HYPERLINK("https://sao.dolgi.msk.ru/account/1404214907/", 1404214907)</f>
        <v>1404214907</v>
      </c>
      <c r="D13257">
        <v>0</v>
      </c>
    </row>
    <row r="13258" spans="1:4" hidden="1" x14ac:dyDescent="0.25">
      <c r="A13258" t="s">
        <v>716</v>
      </c>
      <c r="B13258" t="s">
        <v>18</v>
      </c>
      <c r="C13258" s="2">
        <f>HYPERLINK("https://sao.dolgi.msk.ru/account/1404214915/", 1404214915)</f>
        <v>1404214915</v>
      </c>
      <c r="D13258">
        <v>0</v>
      </c>
    </row>
    <row r="13259" spans="1:4" hidden="1" x14ac:dyDescent="0.25">
      <c r="A13259" t="s">
        <v>716</v>
      </c>
      <c r="B13259" t="s">
        <v>19</v>
      </c>
      <c r="C13259" s="2">
        <f>HYPERLINK("https://sao.dolgi.msk.ru/account/1404215467/", 1404215467)</f>
        <v>1404215467</v>
      </c>
      <c r="D13259">
        <v>0</v>
      </c>
    </row>
    <row r="13260" spans="1:4" hidden="1" x14ac:dyDescent="0.25">
      <c r="A13260" t="s">
        <v>716</v>
      </c>
      <c r="B13260" t="s">
        <v>20</v>
      </c>
      <c r="C13260" s="2">
        <f>HYPERLINK("https://sao.dolgi.msk.ru/account/1404215459/", 1404215459)</f>
        <v>1404215459</v>
      </c>
      <c r="D13260">
        <v>-6381.04</v>
      </c>
    </row>
    <row r="13261" spans="1:4" hidden="1" x14ac:dyDescent="0.25">
      <c r="A13261" t="s">
        <v>716</v>
      </c>
      <c r="B13261" t="s">
        <v>21</v>
      </c>
      <c r="C13261" s="2">
        <f>HYPERLINK("https://sao.dolgi.msk.ru/account/1404214667/", 1404214667)</f>
        <v>1404214667</v>
      </c>
      <c r="D13261">
        <v>-7052.84</v>
      </c>
    </row>
    <row r="13262" spans="1:4" hidden="1" x14ac:dyDescent="0.25">
      <c r="A13262" t="s">
        <v>716</v>
      </c>
      <c r="B13262" t="s">
        <v>22</v>
      </c>
      <c r="C13262" s="2">
        <f>HYPERLINK("https://sao.dolgi.msk.ru/account/1404215061/", 1404215061)</f>
        <v>1404215061</v>
      </c>
      <c r="D13262">
        <v>-7228.22</v>
      </c>
    </row>
    <row r="13263" spans="1:4" hidden="1" x14ac:dyDescent="0.25">
      <c r="A13263" t="s">
        <v>716</v>
      </c>
      <c r="B13263" t="s">
        <v>23</v>
      </c>
      <c r="C13263" s="2">
        <f>HYPERLINK("https://sao.dolgi.msk.ru/account/1404214675/", 1404214675)</f>
        <v>1404214675</v>
      </c>
      <c r="D13263">
        <v>-588.88</v>
      </c>
    </row>
    <row r="13264" spans="1:4" hidden="1" x14ac:dyDescent="0.25">
      <c r="A13264" t="s">
        <v>716</v>
      </c>
      <c r="B13264" t="s">
        <v>24</v>
      </c>
      <c r="C13264" s="2">
        <f>HYPERLINK("https://sao.dolgi.msk.ru/account/1404215096/", 1404215096)</f>
        <v>1404215096</v>
      </c>
      <c r="D13264">
        <v>-4907.95</v>
      </c>
    </row>
    <row r="13265" spans="1:4" hidden="1" x14ac:dyDescent="0.25">
      <c r="A13265" t="s">
        <v>716</v>
      </c>
      <c r="B13265" t="s">
        <v>25</v>
      </c>
      <c r="C13265" s="2">
        <f>HYPERLINK("https://sao.dolgi.msk.ru/account/1404214878/", 1404214878)</f>
        <v>1404214878</v>
      </c>
      <c r="D13265">
        <v>0</v>
      </c>
    </row>
    <row r="13266" spans="1:4" hidden="1" x14ac:dyDescent="0.25">
      <c r="A13266" t="s">
        <v>716</v>
      </c>
      <c r="B13266" t="s">
        <v>26</v>
      </c>
      <c r="C13266" s="2">
        <f>HYPERLINK("https://sao.dolgi.msk.ru/account/1404215176/", 1404215176)</f>
        <v>1404215176</v>
      </c>
      <c r="D13266">
        <v>0</v>
      </c>
    </row>
    <row r="13267" spans="1:4" hidden="1" x14ac:dyDescent="0.25">
      <c r="A13267" t="s">
        <v>716</v>
      </c>
      <c r="B13267" t="s">
        <v>27</v>
      </c>
      <c r="C13267" s="2">
        <f>HYPERLINK("https://sao.dolgi.msk.ru/account/1404214683/", 1404214683)</f>
        <v>1404214683</v>
      </c>
      <c r="D13267">
        <v>-4066.01</v>
      </c>
    </row>
    <row r="13268" spans="1:4" x14ac:dyDescent="0.25">
      <c r="A13268" t="s">
        <v>716</v>
      </c>
      <c r="B13268" t="s">
        <v>28</v>
      </c>
      <c r="C13268" s="2">
        <f>HYPERLINK("https://sao.dolgi.msk.ru/account/1404215184/", 1404215184)</f>
        <v>1404215184</v>
      </c>
      <c r="D13268">
        <v>4018.67</v>
      </c>
    </row>
    <row r="13269" spans="1:4" hidden="1" x14ac:dyDescent="0.25">
      <c r="A13269" t="s">
        <v>716</v>
      </c>
      <c r="B13269" t="s">
        <v>29</v>
      </c>
      <c r="C13269" s="2">
        <f>HYPERLINK("https://sao.dolgi.msk.ru/account/1404214691/", 1404214691)</f>
        <v>1404214691</v>
      </c>
      <c r="D13269">
        <v>-3896.97</v>
      </c>
    </row>
    <row r="13270" spans="1:4" hidden="1" x14ac:dyDescent="0.25">
      <c r="A13270" t="s">
        <v>716</v>
      </c>
      <c r="B13270" t="s">
        <v>30</v>
      </c>
      <c r="C13270" s="2">
        <f>HYPERLINK("https://sao.dolgi.msk.ru/account/1404215301/", 1404215301)</f>
        <v>1404215301</v>
      </c>
      <c r="D13270">
        <v>-4347.87</v>
      </c>
    </row>
    <row r="13271" spans="1:4" hidden="1" x14ac:dyDescent="0.25">
      <c r="A13271" t="s">
        <v>716</v>
      </c>
      <c r="B13271" t="s">
        <v>31</v>
      </c>
      <c r="C13271" s="2">
        <f>HYPERLINK("https://sao.dolgi.msk.ru/account/1404214886/", 1404214886)</f>
        <v>1404214886</v>
      </c>
      <c r="D13271">
        <v>0</v>
      </c>
    </row>
    <row r="13272" spans="1:4" hidden="1" x14ac:dyDescent="0.25">
      <c r="A13272" t="s">
        <v>716</v>
      </c>
      <c r="B13272" t="s">
        <v>32</v>
      </c>
      <c r="C13272" s="2">
        <f>HYPERLINK("https://sao.dolgi.msk.ru/account/1404215547/", 1404215547)</f>
        <v>1404215547</v>
      </c>
      <c r="D13272">
        <v>-3420.95</v>
      </c>
    </row>
    <row r="13273" spans="1:4" hidden="1" x14ac:dyDescent="0.25">
      <c r="A13273" t="s">
        <v>716</v>
      </c>
      <c r="B13273" t="s">
        <v>33</v>
      </c>
      <c r="C13273" s="2">
        <f>HYPERLINK("https://sao.dolgi.msk.ru/account/1404214894/", 1404214894)</f>
        <v>1404214894</v>
      </c>
      <c r="D13273">
        <v>-3771.85</v>
      </c>
    </row>
    <row r="13274" spans="1:4" hidden="1" x14ac:dyDescent="0.25">
      <c r="A13274" t="s">
        <v>716</v>
      </c>
      <c r="B13274" t="s">
        <v>34</v>
      </c>
      <c r="C13274" s="2">
        <f>HYPERLINK("https://sao.dolgi.msk.ru/account/1404214798/", 1404214798)</f>
        <v>1404214798</v>
      </c>
      <c r="D13274">
        <v>0</v>
      </c>
    </row>
    <row r="13275" spans="1:4" hidden="1" x14ac:dyDescent="0.25">
      <c r="A13275" t="s">
        <v>716</v>
      </c>
      <c r="B13275" t="s">
        <v>35</v>
      </c>
      <c r="C13275" s="2">
        <f>HYPERLINK("https://sao.dolgi.msk.ru/account/1404215192/", 1404215192)</f>
        <v>1404215192</v>
      </c>
      <c r="D13275">
        <v>-7265.76</v>
      </c>
    </row>
    <row r="13276" spans="1:4" hidden="1" x14ac:dyDescent="0.25">
      <c r="A13276" t="s">
        <v>716</v>
      </c>
      <c r="B13276" t="s">
        <v>36</v>
      </c>
      <c r="C13276" s="2">
        <f>HYPERLINK("https://sao.dolgi.msk.ru/account/1404214819/", 1404214819)</f>
        <v>1404214819</v>
      </c>
      <c r="D13276">
        <v>-10103.34</v>
      </c>
    </row>
    <row r="13277" spans="1:4" x14ac:dyDescent="0.25">
      <c r="A13277" t="s">
        <v>716</v>
      </c>
      <c r="B13277" t="s">
        <v>37</v>
      </c>
      <c r="C13277" s="2">
        <f>HYPERLINK("https://sao.dolgi.msk.ru/account/1404215109/", 1404215109)</f>
        <v>1404215109</v>
      </c>
      <c r="D13277">
        <v>6431.44</v>
      </c>
    </row>
    <row r="13278" spans="1:4" x14ac:dyDescent="0.25">
      <c r="A13278" t="s">
        <v>716</v>
      </c>
      <c r="B13278" t="s">
        <v>38</v>
      </c>
      <c r="C13278" s="2">
        <f>HYPERLINK("https://sao.dolgi.msk.ru/account/1404215205/", 1404215205)</f>
        <v>1404215205</v>
      </c>
      <c r="D13278">
        <v>975.82</v>
      </c>
    </row>
    <row r="13279" spans="1:4" hidden="1" x14ac:dyDescent="0.25">
      <c r="A13279" t="s">
        <v>716</v>
      </c>
      <c r="B13279" t="s">
        <v>39</v>
      </c>
      <c r="C13279" s="2">
        <f>HYPERLINK("https://sao.dolgi.msk.ru/account/1404215475/", 1404215475)</f>
        <v>1404215475</v>
      </c>
      <c r="D13279">
        <v>0</v>
      </c>
    </row>
    <row r="13280" spans="1:4" hidden="1" x14ac:dyDescent="0.25">
      <c r="A13280" t="s">
        <v>716</v>
      </c>
      <c r="B13280" t="s">
        <v>40</v>
      </c>
      <c r="C13280" s="2">
        <f>HYPERLINK("https://sao.dolgi.msk.ru/account/1404215213/", 1404215213)</f>
        <v>1404215213</v>
      </c>
      <c r="D13280">
        <v>-2843</v>
      </c>
    </row>
    <row r="13281" spans="1:4" hidden="1" x14ac:dyDescent="0.25">
      <c r="A13281" t="s">
        <v>716</v>
      </c>
      <c r="B13281" t="s">
        <v>41</v>
      </c>
      <c r="C13281" s="2">
        <f>HYPERLINK("https://sao.dolgi.msk.ru/account/1404215483/", 1404215483)</f>
        <v>1404215483</v>
      </c>
      <c r="D13281">
        <v>-4196.32</v>
      </c>
    </row>
    <row r="13282" spans="1:4" x14ac:dyDescent="0.25">
      <c r="A13282" t="s">
        <v>716</v>
      </c>
      <c r="B13282" t="s">
        <v>42</v>
      </c>
      <c r="C13282" s="2">
        <f>HYPERLINK("https://sao.dolgi.msk.ru/account/1404214923/", 1404214923)</f>
        <v>1404214923</v>
      </c>
      <c r="D13282">
        <v>29293.77</v>
      </c>
    </row>
    <row r="13283" spans="1:4" hidden="1" x14ac:dyDescent="0.25">
      <c r="A13283" t="s">
        <v>716</v>
      </c>
      <c r="B13283" t="s">
        <v>43</v>
      </c>
      <c r="C13283" s="2">
        <f>HYPERLINK("https://sao.dolgi.msk.ru/account/1404214931/", 1404214931)</f>
        <v>1404214931</v>
      </c>
      <c r="D13283">
        <v>-8407.93</v>
      </c>
    </row>
    <row r="13284" spans="1:4" hidden="1" x14ac:dyDescent="0.25">
      <c r="A13284" t="s">
        <v>716</v>
      </c>
      <c r="B13284" t="s">
        <v>44</v>
      </c>
      <c r="C13284" s="2">
        <f>HYPERLINK("https://sao.dolgi.msk.ru/account/1404215491/", 1404215491)</f>
        <v>1404215491</v>
      </c>
      <c r="D13284">
        <v>-4019.85</v>
      </c>
    </row>
    <row r="13285" spans="1:4" hidden="1" x14ac:dyDescent="0.25">
      <c r="A13285" t="s">
        <v>716</v>
      </c>
      <c r="B13285" t="s">
        <v>45</v>
      </c>
      <c r="C13285" s="2">
        <f>HYPERLINK("https://sao.dolgi.msk.ru/account/1404214827/", 1404214827)</f>
        <v>1404214827</v>
      </c>
      <c r="D13285">
        <v>-4698.74</v>
      </c>
    </row>
    <row r="13286" spans="1:4" hidden="1" x14ac:dyDescent="0.25">
      <c r="A13286" t="s">
        <v>716</v>
      </c>
      <c r="B13286" t="s">
        <v>46</v>
      </c>
      <c r="C13286" s="2">
        <f>HYPERLINK("https://sao.dolgi.msk.ru/account/1404215221/", 1404215221)</f>
        <v>1404215221</v>
      </c>
      <c r="D13286">
        <v>-5798.21</v>
      </c>
    </row>
    <row r="13287" spans="1:4" hidden="1" x14ac:dyDescent="0.25">
      <c r="A13287" t="s">
        <v>716</v>
      </c>
      <c r="B13287" t="s">
        <v>47</v>
      </c>
      <c r="C13287" s="2">
        <f>HYPERLINK("https://sao.dolgi.msk.ru/account/1404214712/", 1404214712)</f>
        <v>1404214712</v>
      </c>
      <c r="D13287">
        <v>0</v>
      </c>
    </row>
    <row r="13288" spans="1:4" hidden="1" x14ac:dyDescent="0.25">
      <c r="A13288" t="s">
        <v>716</v>
      </c>
      <c r="B13288" t="s">
        <v>48</v>
      </c>
      <c r="C13288" s="2">
        <f>HYPERLINK("https://sao.dolgi.msk.ru/account/1404214739/", 1404214739)</f>
        <v>1404214739</v>
      </c>
      <c r="D13288">
        <v>-5847.81</v>
      </c>
    </row>
    <row r="13289" spans="1:4" x14ac:dyDescent="0.25">
      <c r="A13289" t="s">
        <v>716</v>
      </c>
      <c r="B13289" t="s">
        <v>49</v>
      </c>
      <c r="C13289" s="2">
        <f>HYPERLINK("https://sao.dolgi.msk.ru/account/1404215248/", 1404215248)</f>
        <v>1404215248</v>
      </c>
      <c r="D13289">
        <v>17705.509999999998</v>
      </c>
    </row>
    <row r="13290" spans="1:4" hidden="1" x14ac:dyDescent="0.25">
      <c r="A13290" t="s">
        <v>716</v>
      </c>
      <c r="B13290" t="s">
        <v>50</v>
      </c>
      <c r="C13290" s="2">
        <f>HYPERLINK("https://sao.dolgi.msk.ru/account/1404214958/", 1404214958)</f>
        <v>1404214958</v>
      </c>
      <c r="D13290">
        <v>-2059.6999999999998</v>
      </c>
    </row>
    <row r="13291" spans="1:4" hidden="1" x14ac:dyDescent="0.25">
      <c r="A13291" t="s">
        <v>716</v>
      </c>
      <c r="B13291" t="s">
        <v>50</v>
      </c>
      <c r="C13291" s="2">
        <f>HYPERLINK("https://sao.dolgi.msk.ru/account/1404215272/", 1404215272)</f>
        <v>1404215272</v>
      </c>
      <c r="D13291">
        <v>-2851.83</v>
      </c>
    </row>
    <row r="13292" spans="1:4" hidden="1" x14ac:dyDescent="0.25">
      <c r="A13292" t="s">
        <v>716</v>
      </c>
      <c r="B13292" t="s">
        <v>50</v>
      </c>
      <c r="C13292" s="2">
        <f>HYPERLINK("https://sao.dolgi.msk.ru/account/1404215299/", 1404215299)</f>
        <v>1404215299</v>
      </c>
      <c r="D13292">
        <v>0</v>
      </c>
    </row>
    <row r="13293" spans="1:4" hidden="1" x14ac:dyDescent="0.25">
      <c r="A13293" t="s">
        <v>716</v>
      </c>
      <c r="B13293" t="s">
        <v>51</v>
      </c>
      <c r="C13293" s="2">
        <f>HYPERLINK("https://sao.dolgi.msk.ru/account/1404215125/", 1404215125)</f>
        <v>1404215125</v>
      </c>
      <c r="D13293">
        <v>0</v>
      </c>
    </row>
    <row r="13294" spans="1:4" hidden="1" x14ac:dyDescent="0.25">
      <c r="A13294" t="s">
        <v>716</v>
      </c>
      <c r="B13294" t="s">
        <v>52</v>
      </c>
      <c r="C13294" s="2">
        <f>HYPERLINK("https://sao.dolgi.msk.ru/account/1404214587/", 1404214587)</f>
        <v>1404214587</v>
      </c>
      <c r="D13294">
        <v>-4153.6099999999997</v>
      </c>
    </row>
    <row r="13295" spans="1:4" x14ac:dyDescent="0.25">
      <c r="A13295" t="s">
        <v>716</v>
      </c>
      <c r="B13295" t="s">
        <v>53</v>
      </c>
      <c r="C13295" s="2">
        <f>HYPERLINK("https://sao.dolgi.msk.ru/account/1404215344/", 1404215344)</f>
        <v>1404215344</v>
      </c>
      <c r="D13295">
        <v>7566.87</v>
      </c>
    </row>
    <row r="13296" spans="1:4" hidden="1" x14ac:dyDescent="0.25">
      <c r="A13296" t="s">
        <v>716</v>
      </c>
      <c r="B13296" t="s">
        <v>54</v>
      </c>
      <c r="C13296" s="2">
        <f>HYPERLINK("https://sao.dolgi.msk.ru/account/1404215264/", 1404215264)</f>
        <v>1404215264</v>
      </c>
      <c r="D13296">
        <v>-4390.55</v>
      </c>
    </row>
    <row r="13297" spans="1:4" x14ac:dyDescent="0.25">
      <c r="A13297" t="s">
        <v>716</v>
      </c>
      <c r="B13297" t="s">
        <v>55</v>
      </c>
      <c r="C13297" s="2">
        <f>HYPERLINK("https://sao.dolgi.msk.ru/account/1404214595/", 1404214595)</f>
        <v>1404214595</v>
      </c>
      <c r="D13297">
        <v>3808.96</v>
      </c>
    </row>
    <row r="13298" spans="1:4" hidden="1" x14ac:dyDescent="0.25">
      <c r="A13298" t="s">
        <v>716</v>
      </c>
      <c r="B13298" t="s">
        <v>56</v>
      </c>
      <c r="C13298" s="2">
        <f>HYPERLINK("https://sao.dolgi.msk.ru/account/1404214747/", 1404214747)</f>
        <v>1404214747</v>
      </c>
      <c r="D13298">
        <v>-8349.3700000000008</v>
      </c>
    </row>
    <row r="13299" spans="1:4" hidden="1" x14ac:dyDescent="0.25">
      <c r="A13299" t="s">
        <v>716</v>
      </c>
      <c r="B13299" t="s">
        <v>57</v>
      </c>
      <c r="C13299" s="2">
        <f>HYPERLINK("https://sao.dolgi.msk.ru/account/1404214608/", 1404214608)</f>
        <v>1404214608</v>
      </c>
      <c r="D13299">
        <v>-7910.14</v>
      </c>
    </row>
    <row r="13300" spans="1:4" x14ac:dyDescent="0.25">
      <c r="A13300" t="s">
        <v>716</v>
      </c>
      <c r="B13300" t="s">
        <v>58</v>
      </c>
      <c r="C13300" s="2">
        <f>HYPERLINK("https://sao.dolgi.msk.ru/account/1404215352/", 1404215352)</f>
        <v>1404215352</v>
      </c>
      <c r="D13300">
        <v>6593.96</v>
      </c>
    </row>
    <row r="13301" spans="1:4" hidden="1" x14ac:dyDescent="0.25">
      <c r="A13301" t="s">
        <v>716</v>
      </c>
      <c r="B13301" t="s">
        <v>59</v>
      </c>
      <c r="C13301" s="2">
        <f>HYPERLINK("https://sao.dolgi.msk.ru/account/1404215379/", 1404215379)</f>
        <v>1404215379</v>
      </c>
      <c r="D13301">
        <v>0</v>
      </c>
    </row>
    <row r="13302" spans="1:4" hidden="1" x14ac:dyDescent="0.25">
      <c r="A13302" t="s">
        <v>716</v>
      </c>
      <c r="B13302" t="s">
        <v>60</v>
      </c>
      <c r="C13302" s="2">
        <f>HYPERLINK("https://sao.dolgi.msk.ru/account/1404214835/", 1404214835)</f>
        <v>1404214835</v>
      </c>
      <c r="D13302">
        <v>-3693.16</v>
      </c>
    </row>
    <row r="13303" spans="1:4" x14ac:dyDescent="0.25">
      <c r="A13303" t="s">
        <v>716</v>
      </c>
      <c r="B13303" t="s">
        <v>61</v>
      </c>
      <c r="C13303" s="2">
        <f>HYPERLINK("https://sao.dolgi.msk.ru/account/1404215387/", 1404215387)</f>
        <v>1404215387</v>
      </c>
      <c r="D13303">
        <v>64894.720000000001</v>
      </c>
    </row>
    <row r="13304" spans="1:4" x14ac:dyDescent="0.25">
      <c r="A13304" t="s">
        <v>716</v>
      </c>
      <c r="B13304" t="s">
        <v>62</v>
      </c>
      <c r="C13304" s="2">
        <f>HYPERLINK("https://sao.dolgi.msk.ru/account/1404214966/", 1404214966)</f>
        <v>1404214966</v>
      </c>
      <c r="D13304">
        <v>183.53</v>
      </c>
    </row>
    <row r="13305" spans="1:4" hidden="1" x14ac:dyDescent="0.25">
      <c r="A13305" t="s">
        <v>716</v>
      </c>
      <c r="B13305" t="s">
        <v>63</v>
      </c>
      <c r="C13305" s="2">
        <f>HYPERLINK("https://sao.dolgi.msk.ru/account/1404215395/", 1404215395)</f>
        <v>1404215395</v>
      </c>
      <c r="D13305">
        <v>-7911.41</v>
      </c>
    </row>
    <row r="13306" spans="1:4" hidden="1" x14ac:dyDescent="0.25">
      <c r="A13306" t="s">
        <v>716</v>
      </c>
      <c r="B13306" t="s">
        <v>64</v>
      </c>
      <c r="C13306" s="2">
        <f>HYPERLINK("https://sao.dolgi.msk.ru/account/1404214704/", 1404214704)</f>
        <v>1404214704</v>
      </c>
      <c r="D13306">
        <v>0</v>
      </c>
    </row>
    <row r="13307" spans="1:4" hidden="1" x14ac:dyDescent="0.25">
      <c r="A13307" t="s">
        <v>716</v>
      </c>
      <c r="B13307" t="s">
        <v>64</v>
      </c>
      <c r="C13307" s="2">
        <f>HYPERLINK("https://sao.dolgi.msk.ru/account/1404214755/", 1404214755)</f>
        <v>1404214755</v>
      </c>
      <c r="D13307">
        <v>0</v>
      </c>
    </row>
    <row r="13308" spans="1:4" hidden="1" x14ac:dyDescent="0.25">
      <c r="A13308" t="s">
        <v>716</v>
      </c>
      <c r="B13308" t="s">
        <v>65</v>
      </c>
      <c r="C13308" s="2">
        <f>HYPERLINK("https://sao.dolgi.msk.ru/account/1404214974/", 1404214974)</f>
        <v>1404214974</v>
      </c>
      <c r="D13308">
        <v>-4036.48</v>
      </c>
    </row>
    <row r="13309" spans="1:4" hidden="1" x14ac:dyDescent="0.25">
      <c r="A13309" t="s">
        <v>716</v>
      </c>
      <c r="B13309" t="s">
        <v>66</v>
      </c>
      <c r="C13309" s="2">
        <f>HYPERLINK("https://sao.dolgi.msk.ru/account/1404214982/", 1404214982)</f>
        <v>1404214982</v>
      </c>
      <c r="D13309">
        <v>0</v>
      </c>
    </row>
    <row r="13310" spans="1:4" hidden="1" x14ac:dyDescent="0.25">
      <c r="A13310" t="s">
        <v>716</v>
      </c>
      <c r="B13310" t="s">
        <v>67</v>
      </c>
      <c r="C13310" s="2">
        <f>HYPERLINK("https://sao.dolgi.msk.ru/account/1404215002/", 1404215002)</f>
        <v>1404215002</v>
      </c>
      <c r="D13310">
        <v>-2251.77</v>
      </c>
    </row>
    <row r="13311" spans="1:4" hidden="1" x14ac:dyDescent="0.25">
      <c r="A13311" t="s">
        <v>716</v>
      </c>
      <c r="B13311" t="s">
        <v>68</v>
      </c>
      <c r="C13311" s="2">
        <f>HYPERLINK("https://sao.dolgi.msk.ru/account/1404215029/", 1404215029)</f>
        <v>1404215029</v>
      </c>
      <c r="D13311">
        <v>-4581.92</v>
      </c>
    </row>
    <row r="13312" spans="1:4" hidden="1" x14ac:dyDescent="0.25">
      <c r="A13312" t="s">
        <v>716</v>
      </c>
      <c r="B13312" t="s">
        <v>69</v>
      </c>
      <c r="C13312" s="2">
        <f>HYPERLINK("https://sao.dolgi.msk.ru/account/1404214763/", 1404214763)</f>
        <v>1404214763</v>
      </c>
      <c r="D13312">
        <v>-3369.97</v>
      </c>
    </row>
    <row r="13313" spans="1:4" hidden="1" x14ac:dyDescent="0.25">
      <c r="A13313" t="s">
        <v>716</v>
      </c>
      <c r="B13313" t="s">
        <v>70</v>
      </c>
      <c r="C13313" s="2">
        <f>HYPERLINK("https://sao.dolgi.msk.ru/account/1404214843/", 1404214843)</f>
        <v>1404214843</v>
      </c>
      <c r="D13313">
        <v>0</v>
      </c>
    </row>
    <row r="13314" spans="1:4" hidden="1" x14ac:dyDescent="0.25">
      <c r="A13314" t="s">
        <v>716</v>
      </c>
      <c r="B13314" t="s">
        <v>71</v>
      </c>
      <c r="C13314" s="2">
        <f>HYPERLINK("https://sao.dolgi.msk.ru/account/1404214771/", 1404214771)</f>
        <v>1404214771</v>
      </c>
      <c r="D13314">
        <v>-4123.1099999999997</v>
      </c>
    </row>
    <row r="13315" spans="1:4" hidden="1" x14ac:dyDescent="0.25">
      <c r="A13315" t="s">
        <v>716</v>
      </c>
      <c r="B13315" t="s">
        <v>72</v>
      </c>
      <c r="C13315" s="2">
        <f>HYPERLINK("https://sao.dolgi.msk.ru/account/1404215504/", 1404215504)</f>
        <v>1404215504</v>
      </c>
      <c r="D13315">
        <v>-3679.53</v>
      </c>
    </row>
    <row r="13316" spans="1:4" x14ac:dyDescent="0.25">
      <c r="A13316" t="s">
        <v>716</v>
      </c>
      <c r="B13316" t="s">
        <v>73</v>
      </c>
      <c r="C13316" s="2">
        <f>HYPERLINK("https://sao.dolgi.msk.ru/account/1404215037/", 1404215037)</f>
        <v>1404215037</v>
      </c>
      <c r="D13316">
        <v>33735.99</v>
      </c>
    </row>
    <row r="13317" spans="1:4" hidden="1" x14ac:dyDescent="0.25">
      <c r="A13317" t="s">
        <v>716</v>
      </c>
      <c r="B13317" t="s">
        <v>74</v>
      </c>
      <c r="C13317" s="2">
        <f>HYPERLINK("https://sao.dolgi.msk.ru/account/1404215408/", 1404215408)</f>
        <v>1404215408</v>
      </c>
      <c r="D13317">
        <v>0</v>
      </c>
    </row>
    <row r="13318" spans="1:4" hidden="1" x14ac:dyDescent="0.25">
      <c r="A13318" t="s">
        <v>716</v>
      </c>
      <c r="B13318" t="s">
        <v>75</v>
      </c>
      <c r="C13318" s="2">
        <f>HYPERLINK("https://sao.dolgi.msk.ru/account/1404215168/", 1404215168)</f>
        <v>1404215168</v>
      </c>
      <c r="D13318">
        <v>-2308.48</v>
      </c>
    </row>
    <row r="13319" spans="1:4" x14ac:dyDescent="0.25">
      <c r="A13319" t="s">
        <v>716</v>
      </c>
      <c r="B13319" t="s">
        <v>76</v>
      </c>
      <c r="C13319" s="2">
        <f>HYPERLINK("https://sao.dolgi.msk.ru/account/1404215512/", 1404215512)</f>
        <v>1404215512</v>
      </c>
      <c r="D13319">
        <v>9022.81</v>
      </c>
    </row>
    <row r="13320" spans="1:4" hidden="1" x14ac:dyDescent="0.25">
      <c r="A13320" t="s">
        <v>716</v>
      </c>
      <c r="B13320" t="s">
        <v>77</v>
      </c>
      <c r="C13320" s="2">
        <f>HYPERLINK("https://sao.dolgi.msk.ru/account/1404215416/", 1404215416)</f>
        <v>1404215416</v>
      </c>
      <c r="D13320">
        <v>-6045.51</v>
      </c>
    </row>
    <row r="13321" spans="1:4" hidden="1" x14ac:dyDescent="0.25">
      <c r="A13321" t="s">
        <v>716</v>
      </c>
      <c r="B13321" t="s">
        <v>78</v>
      </c>
      <c r="C13321" s="2">
        <f>HYPERLINK("https://sao.dolgi.msk.ru/account/1404214616/", 1404214616)</f>
        <v>1404214616</v>
      </c>
      <c r="D13321">
        <v>0</v>
      </c>
    </row>
    <row r="13322" spans="1:4" hidden="1" x14ac:dyDescent="0.25">
      <c r="A13322" t="s">
        <v>716</v>
      </c>
      <c r="B13322" t="s">
        <v>79</v>
      </c>
      <c r="C13322" s="2">
        <f>HYPERLINK("https://sao.dolgi.msk.ru/account/1404214624/", 1404214624)</f>
        <v>1404214624</v>
      </c>
      <c r="D13322">
        <v>-3690.13</v>
      </c>
    </row>
    <row r="13323" spans="1:4" hidden="1" x14ac:dyDescent="0.25">
      <c r="A13323" t="s">
        <v>716</v>
      </c>
      <c r="B13323" t="s">
        <v>79</v>
      </c>
      <c r="C13323" s="2">
        <f>HYPERLINK("https://sao.dolgi.msk.ru/account/1404215432/", 1404215432)</f>
        <v>1404215432</v>
      </c>
      <c r="D13323">
        <v>0</v>
      </c>
    </row>
    <row r="13324" spans="1:4" hidden="1" x14ac:dyDescent="0.25">
      <c r="A13324" t="s">
        <v>716</v>
      </c>
      <c r="B13324" t="s">
        <v>80</v>
      </c>
      <c r="C13324" s="2">
        <f>HYPERLINK("https://sao.dolgi.msk.ru/account/1404214632/", 1404214632)</f>
        <v>1404214632</v>
      </c>
      <c r="D13324">
        <v>0</v>
      </c>
    </row>
    <row r="13325" spans="1:4" hidden="1" x14ac:dyDescent="0.25">
      <c r="A13325" t="s">
        <v>716</v>
      </c>
      <c r="B13325" t="s">
        <v>81</v>
      </c>
      <c r="C13325" s="2">
        <f>HYPERLINK("https://sao.dolgi.msk.ru/account/1404215424/", 1404215424)</f>
        <v>1404215424</v>
      </c>
      <c r="D13325">
        <v>0</v>
      </c>
    </row>
    <row r="13326" spans="1:4" hidden="1" x14ac:dyDescent="0.25">
      <c r="A13326" t="s">
        <v>716</v>
      </c>
      <c r="B13326" t="s">
        <v>82</v>
      </c>
      <c r="C13326" s="2">
        <f>HYPERLINK("https://sao.dolgi.msk.ru/account/1404215045/", 1404215045)</f>
        <v>1404215045</v>
      </c>
      <c r="D13326">
        <v>0</v>
      </c>
    </row>
    <row r="13327" spans="1:4" hidden="1" x14ac:dyDescent="0.25">
      <c r="A13327" t="s">
        <v>716</v>
      </c>
      <c r="B13327" t="s">
        <v>83</v>
      </c>
      <c r="C13327" s="2">
        <f>HYPERLINK("https://sao.dolgi.msk.ru/account/1404215053/", 1404215053)</f>
        <v>1404215053</v>
      </c>
      <c r="D13327">
        <v>0</v>
      </c>
    </row>
    <row r="13328" spans="1:4" hidden="1" x14ac:dyDescent="0.25">
      <c r="A13328" t="s">
        <v>716</v>
      </c>
      <c r="B13328" t="s">
        <v>84</v>
      </c>
      <c r="C13328" s="2">
        <f>HYPERLINK("https://sao.dolgi.msk.ru/account/1404215539/", 1404215539)</f>
        <v>1404215539</v>
      </c>
      <c r="D13328">
        <v>-7380.06</v>
      </c>
    </row>
    <row r="13329" spans="1:4" hidden="1" x14ac:dyDescent="0.25">
      <c r="A13329" t="s">
        <v>717</v>
      </c>
      <c r="B13329" t="s">
        <v>5</v>
      </c>
      <c r="C13329" s="2">
        <f>HYPERLINK("https://sao.dolgi.msk.ru/account/1404149746/", 1404149746)</f>
        <v>1404149746</v>
      </c>
      <c r="D13329">
        <v>0</v>
      </c>
    </row>
    <row r="13330" spans="1:4" x14ac:dyDescent="0.25">
      <c r="A13330" t="s">
        <v>717</v>
      </c>
      <c r="B13330" t="s">
        <v>6</v>
      </c>
      <c r="C13330" s="2">
        <f>HYPERLINK("https://sao.dolgi.msk.ru/account/1404098854/", 1404098854)</f>
        <v>1404098854</v>
      </c>
      <c r="D13330">
        <v>11717.79</v>
      </c>
    </row>
    <row r="13331" spans="1:4" hidden="1" x14ac:dyDescent="0.25">
      <c r="A13331" t="s">
        <v>717</v>
      </c>
      <c r="B13331" t="s">
        <v>7</v>
      </c>
      <c r="C13331" s="2">
        <f>HYPERLINK("https://sao.dolgi.msk.ru/account/1404140311/", 1404140311)</f>
        <v>1404140311</v>
      </c>
      <c r="D13331">
        <v>0</v>
      </c>
    </row>
    <row r="13332" spans="1:4" hidden="1" x14ac:dyDescent="0.25">
      <c r="A13332" t="s">
        <v>717</v>
      </c>
      <c r="B13332" t="s">
        <v>8</v>
      </c>
      <c r="C13332" s="2">
        <f>HYPERLINK("https://sao.dolgi.msk.ru/account/1404091791/", 1404091791)</f>
        <v>1404091791</v>
      </c>
      <c r="D13332">
        <v>-6821.41</v>
      </c>
    </row>
    <row r="13333" spans="1:4" hidden="1" x14ac:dyDescent="0.25">
      <c r="A13333" t="s">
        <v>717</v>
      </c>
      <c r="B13333" t="s">
        <v>9</v>
      </c>
      <c r="C13333" s="2">
        <f>HYPERLINK("https://sao.dolgi.msk.ru/account/1404098993/", 1404098993)</f>
        <v>1404098993</v>
      </c>
      <c r="D13333">
        <v>-4219.3100000000004</v>
      </c>
    </row>
    <row r="13334" spans="1:4" hidden="1" x14ac:dyDescent="0.25">
      <c r="A13334" t="s">
        <v>717</v>
      </c>
      <c r="B13334" t="s">
        <v>10</v>
      </c>
      <c r="C13334" s="2">
        <f>HYPERLINK("https://sao.dolgi.msk.ru/account/1404092284/", 1404092284)</f>
        <v>1404092284</v>
      </c>
      <c r="D13334">
        <v>-9517.84</v>
      </c>
    </row>
    <row r="13335" spans="1:4" hidden="1" x14ac:dyDescent="0.25">
      <c r="A13335" t="s">
        <v>717</v>
      </c>
      <c r="B13335" t="s">
        <v>11</v>
      </c>
      <c r="C13335" s="2">
        <f>HYPERLINK("https://sao.dolgi.msk.ru/account/1404099005/", 1404099005)</f>
        <v>1404099005</v>
      </c>
      <c r="D13335">
        <v>0</v>
      </c>
    </row>
    <row r="13336" spans="1:4" hidden="1" x14ac:dyDescent="0.25">
      <c r="A13336" t="s">
        <v>717</v>
      </c>
      <c r="B13336" t="s">
        <v>12</v>
      </c>
      <c r="C13336" s="2">
        <f>HYPERLINK("https://sao.dolgi.msk.ru/account/1404140338/", 1404140338)</f>
        <v>1404140338</v>
      </c>
      <c r="D13336">
        <v>-3816.24</v>
      </c>
    </row>
    <row r="13337" spans="1:4" x14ac:dyDescent="0.25">
      <c r="A13337" t="s">
        <v>717</v>
      </c>
      <c r="B13337" t="s">
        <v>13</v>
      </c>
      <c r="C13337" s="2">
        <f>HYPERLINK("https://sao.dolgi.msk.ru/account/1404099072/", 1404099072)</f>
        <v>1404099072</v>
      </c>
      <c r="D13337">
        <v>8852.4</v>
      </c>
    </row>
    <row r="13338" spans="1:4" hidden="1" x14ac:dyDescent="0.25">
      <c r="A13338" t="s">
        <v>717</v>
      </c>
      <c r="B13338" t="s">
        <v>14</v>
      </c>
      <c r="C13338" s="2">
        <f>HYPERLINK("https://sao.dolgi.msk.ru/account/1404092612/", 1404092612)</f>
        <v>1404092612</v>
      </c>
      <c r="D13338">
        <v>-45246.559999999998</v>
      </c>
    </row>
    <row r="13339" spans="1:4" hidden="1" x14ac:dyDescent="0.25">
      <c r="A13339" t="s">
        <v>717</v>
      </c>
      <c r="B13339" t="s">
        <v>15</v>
      </c>
      <c r="C13339" s="2">
        <f>HYPERLINK("https://sao.dolgi.msk.ru/account/1404092049/", 1404092049)</f>
        <v>1404092049</v>
      </c>
      <c r="D13339">
        <v>-13982.09</v>
      </c>
    </row>
    <row r="13340" spans="1:4" hidden="1" x14ac:dyDescent="0.25">
      <c r="A13340" t="s">
        <v>717</v>
      </c>
      <c r="B13340" t="s">
        <v>16</v>
      </c>
      <c r="C13340" s="2">
        <f>HYPERLINK("https://sao.dolgi.msk.ru/account/1404091564/", 1404091564)</f>
        <v>1404091564</v>
      </c>
      <c r="D13340">
        <v>0</v>
      </c>
    </row>
    <row r="13341" spans="1:4" hidden="1" x14ac:dyDescent="0.25">
      <c r="A13341" t="s">
        <v>717</v>
      </c>
      <c r="B13341" t="s">
        <v>17</v>
      </c>
      <c r="C13341" s="2">
        <f>HYPERLINK("https://sao.dolgi.msk.ru/account/1404140055/", 1404140055)</f>
        <v>1404140055</v>
      </c>
      <c r="D13341">
        <v>-7860.6</v>
      </c>
    </row>
    <row r="13342" spans="1:4" hidden="1" x14ac:dyDescent="0.25">
      <c r="A13342" t="s">
        <v>717</v>
      </c>
      <c r="B13342" t="s">
        <v>18</v>
      </c>
      <c r="C13342" s="2">
        <f>HYPERLINK("https://sao.dolgi.msk.ru/account/1404091476/", 1404091476)</f>
        <v>1404091476</v>
      </c>
      <c r="D13342">
        <v>-8932.25</v>
      </c>
    </row>
    <row r="13343" spans="1:4" hidden="1" x14ac:dyDescent="0.25">
      <c r="A13343" t="s">
        <v>717</v>
      </c>
      <c r="B13343" t="s">
        <v>19</v>
      </c>
      <c r="C13343" s="2">
        <f>HYPERLINK("https://sao.dolgi.msk.ru/account/1404092073/", 1404092073)</f>
        <v>1404092073</v>
      </c>
      <c r="D13343">
        <v>-7240.02</v>
      </c>
    </row>
    <row r="13344" spans="1:4" hidden="1" x14ac:dyDescent="0.25">
      <c r="A13344" t="s">
        <v>717</v>
      </c>
      <c r="B13344" t="s">
        <v>20</v>
      </c>
      <c r="C13344" s="2">
        <f>HYPERLINK("https://sao.dolgi.msk.ru/account/1404092858/", 1404092858)</f>
        <v>1404092858</v>
      </c>
      <c r="D13344">
        <v>-8016.05</v>
      </c>
    </row>
    <row r="13345" spans="1:4" hidden="1" x14ac:dyDescent="0.25">
      <c r="A13345" t="s">
        <v>717</v>
      </c>
      <c r="B13345" t="s">
        <v>21</v>
      </c>
      <c r="C13345" s="2">
        <f>HYPERLINK("https://sao.dolgi.msk.ru/account/1404092057/", 1404092057)</f>
        <v>1404092057</v>
      </c>
      <c r="D13345">
        <v>-4920.04</v>
      </c>
    </row>
    <row r="13346" spans="1:4" x14ac:dyDescent="0.25">
      <c r="A13346" t="s">
        <v>717</v>
      </c>
      <c r="B13346" t="s">
        <v>22</v>
      </c>
      <c r="C13346" s="2">
        <f>HYPERLINK("https://sao.dolgi.msk.ru/account/1404140098/", 1404140098)</f>
        <v>1404140098</v>
      </c>
      <c r="D13346">
        <v>6256.69</v>
      </c>
    </row>
    <row r="13347" spans="1:4" hidden="1" x14ac:dyDescent="0.25">
      <c r="A13347" t="s">
        <v>717</v>
      </c>
      <c r="B13347" t="s">
        <v>23</v>
      </c>
      <c r="C13347" s="2">
        <f>HYPERLINK("https://sao.dolgi.msk.ru/account/1404091898/", 1404091898)</f>
        <v>1404091898</v>
      </c>
      <c r="D13347">
        <v>-3955.94</v>
      </c>
    </row>
    <row r="13348" spans="1:4" hidden="1" x14ac:dyDescent="0.25">
      <c r="A13348" t="s">
        <v>717</v>
      </c>
      <c r="B13348" t="s">
        <v>24</v>
      </c>
      <c r="C13348" s="2">
        <f>HYPERLINK("https://sao.dolgi.msk.ru/account/1404092559/", 1404092559)</f>
        <v>1404092559</v>
      </c>
      <c r="D13348">
        <v>-7073.12</v>
      </c>
    </row>
    <row r="13349" spans="1:4" hidden="1" x14ac:dyDescent="0.25">
      <c r="A13349" t="s">
        <v>717</v>
      </c>
      <c r="B13349" t="s">
        <v>25</v>
      </c>
      <c r="C13349" s="2">
        <f>HYPERLINK("https://sao.dolgi.msk.ru/account/1404092161/", 1404092161)</f>
        <v>1404092161</v>
      </c>
      <c r="D13349">
        <v>-12391.59</v>
      </c>
    </row>
    <row r="13350" spans="1:4" hidden="1" x14ac:dyDescent="0.25">
      <c r="A13350" t="s">
        <v>717</v>
      </c>
      <c r="B13350" t="s">
        <v>26</v>
      </c>
      <c r="C13350" s="2">
        <f>HYPERLINK("https://sao.dolgi.msk.ru/account/1404091556/", 1404091556)</f>
        <v>1404091556</v>
      </c>
      <c r="D13350">
        <v>-3470.89</v>
      </c>
    </row>
    <row r="13351" spans="1:4" hidden="1" x14ac:dyDescent="0.25">
      <c r="A13351" t="s">
        <v>717</v>
      </c>
      <c r="B13351" t="s">
        <v>27</v>
      </c>
      <c r="C13351" s="2">
        <f>HYPERLINK("https://sao.dolgi.msk.ru/account/1404140151/", 1404140151)</f>
        <v>1404140151</v>
      </c>
      <c r="D13351">
        <v>-6204.63</v>
      </c>
    </row>
    <row r="13352" spans="1:4" hidden="1" x14ac:dyDescent="0.25">
      <c r="A13352" t="s">
        <v>717</v>
      </c>
      <c r="B13352" t="s">
        <v>28</v>
      </c>
      <c r="C13352" s="2">
        <f>HYPERLINK("https://sao.dolgi.msk.ru/account/1404093287/", 1404093287)</f>
        <v>1404093287</v>
      </c>
      <c r="D13352">
        <v>-5903.24</v>
      </c>
    </row>
    <row r="13353" spans="1:4" hidden="1" x14ac:dyDescent="0.25">
      <c r="A13353" t="s">
        <v>717</v>
      </c>
      <c r="B13353" t="s">
        <v>29</v>
      </c>
      <c r="C13353" s="2">
        <f>HYPERLINK("https://sao.dolgi.msk.ru/account/1404092655/", 1404092655)</f>
        <v>1404092655</v>
      </c>
      <c r="D13353">
        <v>-4029.47</v>
      </c>
    </row>
    <row r="13354" spans="1:4" hidden="1" x14ac:dyDescent="0.25">
      <c r="A13354" t="s">
        <v>717</v>
      </c>
      <c r="B13354" t="s">
        <v>30</v>
      </c>
      <c r="C13354" s="2">
        <f>HYPERLINK("https://sao.dolgi.msk.ru/account/1404091679/", 1404091679)</f>
        <v>1404091679</v>
      </c>
      <c r="D13354">
        <v>-1315.83</v>
      </c>
    </row>
    <row r="13355" spans="1:4" hidden="1" x14ac:dyDescent="0.25">
      <c r="A13355" t="s">
        <v>717</v>
      </c>
      <c r="B13355" t="s">
        <v>31</v>
      </c>
      <c r="C13355" s="2">
        <f>HYPERLINK("https://sao.dolgi.msk.ru/account/1404091441/", 1404091441)</f>
        <v>1404091441</v>
      </c>
      <c r="D13355">
        <v>-4605.05</v>
      </c>
    </row>
    <row r="13356" spans="1:4" hidden="1" x14ac:dyDescent="0.25">
      <c r="A13356" t="s">
        <v>717</v>
      </c>
      <c r="B13356" t="s">
        <v>32</v>
      </c>
      <c r="C13356" s="2">
        <f>HYPERLINK("https://sao.dolgi.msk.ru/account/1404097843/", 1404097843)</f>
        <v>1404097843</v>
      </c>
      <c r="D13356">
        <v>-5040.87</v>
      </c>
    </row>
    <row r="13357" spans="1:4" x14ac:dyDescent="0.25">
      <c r="A13357" t="s">
        <v>717</v>
      </c>
      <c r="B13357" t="s">
        <v>33</v>
      </c>
      <c r="C13357" s="2">
        <f>HYPERLINK("https://sao.dolgi.msk.ru/account/1404092225/", 1404092225)</f>
        <v>1404092225</v>
      </c>
      <c r="D13357">
        <v>4275.49</v>
      </c>
    </row>
    <row r="13358" spans="1:4" hidden="1" x14ac:dyDescent="0.25">
      <c r="A13358" t="s">
        <v>717</v>
      </c>
      <c r="B13358" t="s">
        <v>34</v>
      </c>
      <c r="C13358" s="2">
        <f>HYPERLINK("https://sao.dolgi.msk.ru/account/1404091978/", 1404091978)</f>
        <v>1404091978</v>
      </c>
      <c r="D13358">
        <v>0</v>
      </c>
    </row>
    <row r="13359" spans="1:4" hidden="1" x14ac:dyDescent="0.25">
      <c r="A13359" t="s">
        <v>717</v>
      </c>
      <c r="B13359" t="s">
        <v>35</v>
      </c>
      <c r="C13359" s="2">
        <f>HYPERLINK("https://sao.dolgi.msk.ru/account/1404097755/", 1404097755)</f>
        <v>1404097755</v>
      </c>
      <c r="D13359">
        <v>0</v>
      </c>
    </row>
    <row r="13360" spans="1:4" x14ac:dyDescent="0.25">
      <c r="A13360" t="s">
        <v>717</v>
      </c>
      <c r="B13360" t="s">
        <v>36</v>
      </c>
      <c r="C13360" s="2">
        <f>HYPERLINK("https://sao.dolgi.msk.ru/account/1404092217/", 1404092217)</f>
        <v>1404092217</v>
      </c>
      <c r="D13360">
        <v>883</v>
      </c>
    </row>
    <row r="13361" spans="1:4" hidden="1" x14ac:dyDescent="0.25">
      <c r="A13361" t="s">
        <v>717</v>
      </c>
      <c r="B13361" t="s">
        <v>37</v>
      </c>
      <c r="C13361" s="2">
        <f>HYPERLINK("https://sao.dolgi.msk.ru/account/1404154537/", 1404154537)</f>
        <v>1404154537</v>
      </c>
      <c r="D13361">
        <v>-5332.54</v>
      </c>
    </row>
    <row r="13362" spans="1:4" hidden="1" x14ac:dyDescent="0.25">
      <c r="A13362" t="s">
        <v>717</v>
      </c>
      <c r="B13362" t="s">
        <v>38</v>
      </c>
      <c r="C13362" s="2">
        <f>HYPERLINK("https://sao.dolgi.msk.ru/account/1404092903/", 1404092903)</f>
        <v>1404092903</v>
      </c>
      <c r="D13362">
        <v>-6014.59</v>
      </c>
    </row>
    <row r="13363" spans="1:4" hidden="1" x14ac:dyDescent="0.25">
      <c r="A13363" t="s">
        <v>717</v>
      </c>
      <c r="B13363" t="s">
        <v>39</v>
      </c>
      <c r="C13363" s="2">
        <f>HYPERLINK("https://sao.dolgi.msk.ru/account/1404092823/", 1404092823)</f>
        <v>1404092823</v>
      </c>
      <c r="D13363">
        <v>0</v>
      </c>
    </row>
    <row r="13364" spans="1:4" x14ac:dyDescent="0.25">
      <c r="A13364" t="s">
        <v>717</v>
      </c>
      <c r="B13364" t="s">
        <v>40</v>
      </c>
      <c r="C13364" s="2">
        <f>HYPERLINK("https://sao.dolgi.msk.ru/account/1404092348/", 1404092348)</f>
        <v>1404092348</v>
      </c>
      <c r="D13364">
        <v>158452.32</v>
      </c>
    </row>
    <row r="13365" spans="1:4" hidden="1" x14ac:dyDescent="0.25">
      <c r="A13365" t="s">
        <v>717</v>
      </c>
      <c r="B13365" t="s">
        <v>41</v>
      </c>
      <c r="C13365" s="2">
        <f>HYPERLINK("https://sao.dolgi.msk.ru/account/1404093244/", 1404093244)</f>
        <v>1404093244</v>
      </c>
      <c r="D13365">
        <v>-7080.79</v>
      </c>
    </row>
    <row r="13366" spans="1:4" hidden="1" x14ac:dyDescent="0.25">
      <c r="A13366" t="s">
        <v>717</v>
      </c>
      <c r="B13366" t="s">
        <v>42</v>
      </c>
      <c r="C13366" s="2">
        <f>HYPERLINK("https://sao.dolgi.msk.ru/account/1404092014/", 1404092014)</f>
        <v>1404092014</v>
      </c>
      <c r="D13366">
        <v>-5504.32</v>
      </c>
    </row>
    <row r="13367" spans="1:4" x14ac:dyDescent="0.25">
      <c r="A13367" t="s">
        <v>717</v>
      </c>
      <c r="B13367" t="s">
        <v>43</v>
      </c>
      <c r="C13367" s="2">
        <f>HYPERLINK("https://sao.dolgi.msk.ru/account/1404096058/", 1404096058)</f>
        <v>1404096058</v>
      </c>
      <c r="D13367">
        <v>140083.70000000001</v>
      </c>
    </row>
    <row r="13368" spans="1:4" hidden="1" x14ac:dyDescent="0.25">
      <c r="A13368" t="s">
        <v>717</v>
      </c>
      <c r="B13368" t="s">
        <v>44</v>
      </c>
      <c r="C13368" s="2">
        <f>HYPERLINK("https://sao.dolgi.msk.ru/account/1404091775/", 1404091775)</f>
        <v>1404091775</v>
      </c>
      <c r="D13368">
        <v>0</v>
      </c>
    </row>
    <row r="13369" spans="1:4" hidden="1" x14ac:dyDescent="0.25">
      <c r="A13369" t="s">
        <v>717</v>
      </c>
      <c r="B13369" t="s">
        <v>45</v>
      </c>
      <c r="C13369" s="2">
        <f>HYPERLINK("https://sao.dolgi.msk.ru/account/1404092129/", 1404092129)</f>
        <v>1404092129</v>
      </c>
      <c r="D13369">
        <v>-7739.85</v>
      </c>
    </row>
    <row r="13370" spans="1:4" hidden="1" x14ac:dyDescent="0.25">
      <c r="A13370" t="s">
        <v>717</v>
      </c>
      <c r="B13370" t="s">
        <v>46</v>
      </c>
      <c r="C13370" s="2">
        <f>HYPERLINK("https://sao.dolgi.msk.ru/account/1404091628/", 1404091628)</f>
        <v>1404091628</v>
      </c>
      <c r="D13370">
        <v>-6171.91</v>
      </c>
    </row>
    <row r="13371" spans="1:4" hidden="1" x14ac:dyDescent="0.25">
      <c r="A13371" t="s">
        <v>717</v>
      </c>
      <c r="B13371" t="s">
        <v>47</v>
      </c>
      <c r="C13371" s="2">
        <f>HYPERLINK("https://sao.dolgi.msk.ru/account/1404092444/", 1404092444)</f>
        <v>1404092444</v>
      </c>
      <c r="D13371">
        <v>0</v>
      </c>
    </row>
    <row r="13372" spans="1:4" hidden="1" x14ac:dyDescent="0.25">
      <c r="A13372" t="s">
        <v>717</v>
      </c>
      <c r="B13372" t="s">
        <v>48</v>
      </c>
      <c r="C13372" s="2">
        <f>HYPERLINK("https://sao.dolgi.msk.ru/account/1404139791/", 1404139791)</f>
        <v>1404139791</v>
      </c>
      <c r="D13372">
        <v>-5450.48</v>
      </c>
    </row>
    <row r="13373" spans="1:4" hidden="1" x14ac:dyDescent="0.25">
      <c r="A13373" t="s">
        <v>717</v>
      </c>
      <c r="B13373" t="s">
        <v>49</v>
      </c>
      <c r="C13373" s="2">
        <f>HYPERLINK("https://sao.dolgi.msk.ru/account/1404092508/", 1404092508)</f>
        <v>1404092508</v>
      </c>
      <c r="D13373">
        <v>-4676.21</v>
      </c>
    </row>
    <row r="13374" spans="1:4" x14ac:dyDescent="0.25">
      <c r="A13374" t="s">
        <v>717</v>
      </c>
      <c r="B13374" t="s">
        <v>50</v>
      </c>
      <c r="C13374" s="2">
        <f>HYPERLINK("https://sao.dolgi.msk.ru/account/1404091601/", 1404091601)</f>
        <v>1404091601</v>
      </c>
      <c r="D13374">
        <v>7728.76</v>
      </c>
    </row>
    <row r="13375" spans="1:4" hidden="1" x14ac:dyDescent="0.25">
      <c r="A13375" t="s">
        <v>717</v>
      </c>
      <c r="B13375" t="s">
        <v>51</v>
      </c>
      <c r="C13375" s="2">
        <f>HYPERLINK("https://sao.dolgi.msk.ru/account/1404092786/", 1404092786)</f>
        <v>1404092786</v>
      </c>
      <c r="D13375">
        <v>-2333.65</v>
      </c>
    </row>
    <row r="13376" spans="1:4" hidden="1" x14ac:dyDescent="0.25">
      <c r="A13376" t="s">
        <v>717</v>
      </c>
      <c r="B13376" t="s">
        <v>52</v>
      </c>
      <c r="C13376" s="2">
        <f>HYPERLINK("https://sao.dolgi.msk.ru/account/1404092356/", 1404092356)</f>
        <v>1404092356</v>
      </c>
      <c r="D13376">
        <v>-321.87</v>
      </c>
    </row>
    <row r="13377" spans="1:4" hidden="1" x14ac:dyDescent="0.25">
      <c r="A13377" t="s">
        <v>717</v>
      </c>
      <c r="B13377" t="s">
        <v>53</v>
      </c>
      <c r="C13377" s="2">
        <f>HYPERLINK("https://sao.dolgi.msk.ru/account/1404099435/", 1404099435)</f>
        <v>1404099435</v>
      </c>
      <c r="D13377">
        <v>0</v>
      </c>
    </row>
    <row r="13378" spans="1:4" x14ac:dyDescent="0.25">
      <c r="A13378" t="s">
        <v>717</v>
      </c>
      <c r="B13378" t="s">
        <v>54</v>
      </c>
      <c r="C13378" s="2">
        <f>HYPERLINK("https://sao.dolgi.msk.ru/account/1404092911/", 1404092911)</f>
        <v>1404092911</v>
      </c>
      <c r="D13378">
        <v>8070.96</v>
      </c>
    </row>
    <row r="13379" spans="1:4" hidden="1" x14ac:dyDescent="0.25">
      <c r="A13379" t="s">
        <v>717</v>
      </c>
      <c r="B13379" t="s">
        <v>55</v>
      </c>
      <c r="C13379" s="2">
        <f>HYPERLINK("https://sao.dolgi.msk.ru/account/1404092663/", 1404092663)</f>
        <v>1404092663</v>
      </c>
      <c r="D13379">
        <v>-8550.7000000000007</v>
      </c>
    </row>
    <row r="13380" spans="1:4" hidden="1" x14ac:dyDescent="0.25">
      <c r="A13380" t="s">
        <v>717</v>
      </c>
      <c r="B13380" t="s">
        <v>56</v>
      </c>
      <c r="C13380" s="2">
        <f>HYPERLINK("https://sao.dolgi.msk.ru/account/1404092866/", 1404092866)</f>
        <v>1404092866</v>
      </c>
      <c r="D13380">
        <v>-7675.68</v>
      </c>
    </row>
    <row r="13381" spans="1:4" hidden="1" x14ac:dyDescent="0.25">
      <c r="A13381" t="s">
        <v>717</v>
      </c>
      <c r="B13381" t="s">
        <v>57</v>
      </c>
      <c r="C13381" s="2">
        <f>HYPERLINK("https://sao.dolgi.msk.ru/account/1404093252/", 1404093252)</f>
        <v>1404093252</v>
      </c>
      <c r="D13381">
        <v>-5335.73</v>
      </c>
    </row>
    <row r="13382" spans="1:4" hidden="1" x14ac:dyDescent="0.25">
      <c r="A13382" t="s">
        <v>717</v>
      </c>
      <c r="B13382" t="s">
        <v>58</v>
      </c>
      <c r="C13382" s="2">
        <f>HYPERLINK("https://sao.dolgi.msk.ru/account/1404139927/", 1404139927)</f>
        <v>1404139927</v>
      </c>
      <c r="D13382">
        <v>-6911.1</v>
      </c>
    </row>
    <row r="13383" spans="1:4" hidden="1" x14ac:dyDescent="0.25">
      <c r="A13383" t="s">
        <v>717</v>
      </c>
      <c r="B13383" t="s">
        <v>59</v>
      </c>
      <c r="C13383" s="2">
        <f>HYPERLINK("https://sao.dolgi.msk.ru/account/1404091732/", 1404091732)</f>
        <v>1404091732</v>
      </c>
      <c r="D13383">
        <v>-10619.64</v>
      </c>
    </row>
    <row r="13384" spans="1:4" hidden="1" x14ac:dyDescent="0.25">
      <c r="A13384" t="s">
        <v>717</v>
      </c>
      <c r="B13384" t="s">
        <v>60</v>
      </c>
      <c r="C13384" s="2">
        <f>HYPERLINK("https://sao.dolgi.msk.ru/account/1404092364/", 1404092364)</f>
        <v>1404092364</v>
      </c>
      <c r="D13384">
        <v>-7362.12</v>
      </c>
    </row>
    <row r="13385" spans="1:4" hidden="1" x14ac:dyDescent="0.25">
      <c r="A13385" t="s">
        <v>717</v>
      </c>
      <c r="B13385" t="s">
        <v>61</v>
      </c>
      <c r="C13385" s="2">
        <f>HYPERLINK("https://sao.dolgi.msk.ru/account/1404092452/", 1404092452)</f>
        <v>1404092452</v>
      </c>
      <c r="D13385">
        <v>-7685.73</v>
      </c>
    </row>
    <row r="13386" spans="1:4" x14ac:dyDescent="0.25">
      <c r="A13386" t="s">
        <v>717</v>
      </c>
      <c r="B13386" t="s">
        <v>62</v>
      </c>
      <c r="C13386" s="2">
        <f>HYPERLINK("https://sao.dolgi.msk.ru/account/1404093308/", 1404093308)</f>
        <v>1404093308</v>
      </c>
      <c r="D13386">
        <v>17501.05</v>
      </c>
    </row>
    <row r="13387" spans="1:4" hidden="1" x14ac:dyDescent="0.25">
      <c r="A13387" t="s">
        <v>717</v>
      </c>
      <c r="B13387" t="s">
        <v>63</v>
      </c>
      <c r="C13387" s="2">
        <f>HYPERLINK("https://sao.dolgi.msk.ru/account/1404092006/", 1404092006)</f>
        <v>1404092006</v>
      </c>
      <c r="D13387">
        <v>-934.38</v>
      </c>
    </row>
    <row r="13388" spans="1:4" hidden="1" x14ac:dyDescent="0.25">
      <c r="A13388" t="s">
        <v>717</v>
      </c>
      <c r="B13388" t="s">
        <v>64</v>
      </c>
      <c r="C13388" s="2">
        <f>HYPERLINK("https://sao.dolgi.msk.ru/account/1404093199/", 1404093199)</f>
        <v>1404093199</v>
      </c>
      <c r="D13388">
        <v>-9172.39</v>
      </c>
    </row>
    <row r="13389" spans="1:4" hidden="1" x14ac:dyDescent="0.25">
      <c r="A13389" t="s">
        <v>717</v>
      </c>
      <c r="B13389" t="s">
        <v>65</v>
      </c>
      <c r="C13389" s="2">
        <f>HYPERLINK("https://sao.dolgi.msk.ru/account/1404092751/", 1404092751)</f>
        <v>1404092751</v>
      </c>
      <c r="D13389">
        <v>0</v>
      </c>
    </row>
    <row r="13390" spans="1:4" hidden="1" x14ac:dyDescent="0.25">
      <c r="A13390" t="s">
        <v>717</v>
      </c>
      <c r="B13390" t="s">
        <v>66</v>
      </c>
      <c r="C13390" s="2">
        <f>HYPERLINK("https://sao.dolgi.msk.ru/account/1404092516/", 1404092516)</f>
        <v>1404092516</v>
      </c>
      <c r="D13390">
        <v>0</v>
      </c>
    </row>
    <row r="13391" spans="1:4" hidden="1" x14ac:dyDescent="0.25">
      <c r="A13391" t="s">
        <v>717</v>
      </c>
      <c r="B13391" t="s">
        <v>67</v>
      </c>
      <c r="C13391" s="2">
        <f>HYPERLINK("https://sao.dolgi.msk.ru/account/1404095987/", 1404095987)</f>
        <v>1404095987</v>
      </c>
      <c r="D13391">
        <v>-3846.42</v>
      </c>
    </row>
    <row r="13392" spans="1:4" hidden="1" x14ac:dyDescent="0.25">
      <c r="A13392" t="s">
        <v>717</v>
      </c>
      <c r="B13392" t="s">
        <v>68</v>
      </c>
      <c r="C13392" s="2">
        <f>HYPERLINK("https://sao.dolgi.msk.ru/account/1404092081/", 1404092081)</f>
        <v>1404092081</v>
      </c>
      <c r="D13392">
        <v>-6734.47</v>
      </c>
    </row>
    <row r="13393" spans="1:4" hidden="1" x14ac:dyDescent="0.25">
      <c r="A13393" t="s">
        <v>717</v>
      </c>
      <c r="B13393" t="s">
        <v>69</v>
      </c>
      <c r="C13393" s="2">
        <f>HYPERLINK("https://sao.dolgi.msk.ru/account/1404092778/", 1404092778)</f>
        <v>1404092778</v>
      </c>
      <c r="D13393">
        <v>-6083.17</v>
      </c>
    </row>
    <row r="13394" spans="1:4" hidden="1" x14ac:dyDescent="0.25">
      <c r="A13394" t="s">
        <v>717</v>
      </c>
      <c r="B13394" t="s">
        <v>70</v>
      </c>
      <c r="C13394" s="2">
        <f>HYPERLINK("https://sao.dolgi.msk.ru/account/1404092807/", 1404092807)</f>
        <v>1404092807</v>
      </c>
      <c r="D13394">
        <v>0</v>
      </c>
    </row>
    <row r="13395" spans="1:4" hidden="1" x14ac:dyDescent="0.25">
      <c r="A13395" t="s">
        <v>717</v>
      </c>
      <c r="B13395" t="s">
        <v>71</v>
      </c>
      <c r="C13395" s="2">
        <f>HYPERLINK("https://sao.dolgi.msk.ru/account/1404099451/", 1404099451)</f>
        <v>1404099451</v>
      </c>
      <c r="D13395">
        <v>-336.73</v>
      </c>
    </row>
    <row r="13396" spans="1:4" hidden="1" x14ac:dyDescent="0.25">
      <c r="A13396" t="s">
        <v>717</v>
      </c>
      <c r="B13396" t="s">
        <v>72</v>
      </c>
      <c r="C13396" s="2">
        <f>HYPERLINK("https://sao.dolgi.msk.ru/account/1404091863/", 1404091863)</f>
        <v>1404091863</v>
      </c>
      <c r="D13396">
        <v>-8865.44</v>
      </c>
    </row>
    <row r="13397" spans="1:4" hidden="1" x14ac:dyDescent="0.25">
      <c r="A13397" t="s">
        <v>717</v>
      </c>
      <c r="B13397" t="s">
        <v>73</v>
      </c>
      <c r="C13397" s="2">
        <f>HYPERLINK("https://sao.dolgi.msk.ru/account/1404092698/", 1404092698)</f>
        <v>1404092698</v>
      </c>
      <c r="D13397">
        <v>-191</v>
      </c>
    </row>
    <row r="13398" spans="1:4" hidden="1" x14ac:dyDescent="0.25">
      <c r="A13398" t="s">
        <v>717</v>
      </c>
      <c r="B13398" t="s">
        <v>74</v>
      </c>
      <c r="C13398" s="2">
        <f>HYPERLINK("https://sao.dolgi.msk.ru/account/1404091695/", 1404091695)</f>
        <v>1404091695</v>
      </c>
      <c r="D13398">
        <v>-5310.55</v>
      </c>
    </row>
    <row r="13399" spans="1:4" hidden="1" x14ac:dyDescent="0.25">
      <c r="A13399" t="s">
        <v>717</v>
      </c>
      <c r="B13399" t="s">
        <v>75</v>
      </c>
      <c r="C13399" s="2">
        <f>HYPERLINK("https://sao.dolgi.msk.ru/account/1404091767/", 1404091767)</f>
        <v>1404091767</v>
      </c>
      <c r="D13399">
        <v>-8720.8799999999992</v>
      </c>
    </row>
    <row r="13400" spans="1:4" hidden="1" x14ac:dyDescent="0.25">
      <c r="A13400" t="s">
        <v>717</v>
      </c>
      <c r="B13400" t="s">
        <v>76</v>
      </c>
      <c r="C13400" s="2">
        <f>HYPERLINK("https://sao.dolgi.msk.ru/account/1404099523/", 1404099523)</f>
        <v>1404099523</v>
      </c>
      <c r="D13400">
        <v>0</v>
      </c>
    </row>
    <row r="13401" spans="1:4" hidden="1" x14ac:dyDescent="0.25">
      <c r="A13401" t="s">
        <v>717</v>
      </c>
      <c r="B13401" t="s">
        <v>76</v>
      </c>
      <c r="C13401" s="2">
        <f>HYPERLINK("https://sao.dolgi.msk.ru/account/1404139839/", 1404139839)</f>
        <v>1404139839</v>
      </c>
      <c r="D13401">
        <v>-5110.6099999999997</v>
      </c>
    </row>
    <row r="13402" spans="1:4" x14ac:dyDescent="0.25">
      <c r="A13402" t="s">
        <v>717</v>
      </c>
      <c r="B13402" t="s">
        <v>77</v>
      </c>
      <c r="C13402" s="2">
        <f>HYPERLINK("https://sao.dolgi.msk.ru/account/1404091871/", 1404091871)</f>
        <v>1404091871</v>
      </c>
      <c r="D13402">
        <v>15567.78</v>
      </c>
    </row>
    <row r="13403" spans="1:4" x14ac:dyDescent="0.25">
      <c r="A13403" t="s">
        <v>717</v>
      </c>
      <c r="B13403" t="s">
        <v>78</v>
      </c>
      <c r="C13403" s="2">
        <f>HYPERLINK("https://sao.dolgi.msk.ru/account/1404094845/", 1404094845)</f>
        <v>1404094845</v>
      </c>
      <c r="D13403">
        <v>11182.32</v>
      </c>
    </row>
    <row r="13404" spans="1:4" hidden="1" x14ac:dyDescent="0.25">
      <c r="A13404" t="s">
        <v>717</v>
      </c>
      <c r="B13404" t="s">
        <v>79</v>
      </c>
      <c r="C13404" s="2">
        <f>HYPERLINK("https://sao.dolgi.msk.ru/account/1404094829/", 1404094829)</f>
        <v>1404094829</v>
      </c>
      <c r="D13404">
        <v>0</v>
      </c>
    </row>
    <row r="13405" spans="1:4" hidden="1" x14ac:dyDescent="0.25">
      <c r="A13405" t="s">
        <v>717</v>
      </c>
      <c r="B13405" t="s">
        <v>80</v>
      </c>
      <c r="C13405" s="2">
        <f>HYPERLINK("https://sao.dolgi.msk.ru/account/1404092196/", 1404092196)</f>
        <v>1404092196</v>
      </c>
      <c r="D13405">
        <v>-12146.09</v>
      </c>
    </row>
    <row r="13406" spans="1:4" hidden="1" x14ac:dyDescent="0.25">
      <c r="A13406" t="s">
        <v>717</v>
      </c>
      <c r="B13406" t="s">
        <v>81</v>
      </c>
      <c r="C13406" s="2">
        <f>HYPERLINK("https://sao.dolgi.msk.ru/account/1404092065/", 1404092065)</f>
        <v>1404092065</v>
      </c>
      <c r="D13406">
        <v>-8786.31</v>
      </c>
    </row>
    <row r="13407" spans="1:4" hidden="1" x14ac:dyDescent="0.25">
      <c r="A13407" t="s">
        <v>717</v>
      </c>
      <c r="B13407" t="s">
        <v>82</v>
      </c>
      <c r="C13407" s="2">
        <f>HYPERLINK("https://sao.dolgi.msk.ru/account/1404093172/", 1404093172)</f>
        <v>1404093172</v>
      </c>
      <c r="D13407">
        <v>-5270.86</v>
      </c>
    </row>
    <row r="13408" spans="1:4" x14ac:dyDescent="0.25">
      <c r="A13408" t="s">
        <v>717</v>
      </c>
      <c r="B13408" t="s">
        <v>83</v>
      </c>
      <c r="C13408" s="2">
        <f>HYPERLINK("https://sao.dolgi.msk.ru/account/1404091986/", 1404091986)</f>
        <v>1404091986</v>
      </c>
      <c r="D13408">
        <v>4248.7299999999996</v>
      </c>
    </row>
    <row r="13409" spans="1:4" hidden="1" x14ac:dyDescent="0.25">
      <c r="A13409" t="s">
        <v>717</v>
      </c>
      <c r="B13409" t="s">
        <v>84</v>
      </c>
      <c r="C13409" s="2">
        <f>HYPERLINK("https://sao.dolgi.msk.ru/account/1404093105/", 1404093105)</f>
        <v>1404093105</v>
      </c>
      <c r="D13409">
        <v>-16977.88</v>
      </c>
    </row>
    <row r="13410" spans="1:4" hidden="1" x14ac:dyDescent="0.25">
      <c r="A13410" t="s">
        <v>717</v>
      </c>
      <c r="B13410" t="s">
        <v>85</v>
      </c>
      <c r="C13410" s="2">
        <f>HYPERLINK("https://sao.dolgi.msk.ru/account/1404091636/", 1404091636)</f>
        <v>1404091636</v>
      </c>
      <c r="D13410">
        <v>0</v>
      </c>
    </row>
    <row r="13411" spans="1:4" hidden="1" x14ac:dyDescent="0.25">
      <c r="A13411" t="s">
        <v>717</v>
      </c>
      <c r="B13411" t="s">
        <v>86</v>
      </c>
      <c r="C13411" s="2">
        <f>HYPERLINK("https://sao.dolgi.msk.ru/account/1404099603/", 1404099603)</f>
        <v>1404099603</v>
      </c>
      <c r="D13411">
        <v>0</v>
      </c>
    </row>
    <row r="13412" spans="1:4" hidden="1" x14ac:dyDescent="0.25">
      <c r="A13412" t="s">
        <v>717</v>
      </c>
      <c r="B13412" t="s">
        <v>87</v>
      </c>
      <c r="C13412" s="2">
        <f>HYPERLINK("https://sao.dolgi.msk.ru/account/1404140178/", 1404140178)</f>
        <v>1404140178</v>
      </c>
      <c r="D13412">
        <v>-5560.18</v>
      </c>
    </row>
    <row r="13413" spans="1:4" hidden="1" x14ac:dyDescent="0.25">
      <c r="A13413" t="s">
        <v>717</v>
      </c>
      <c r="B13413" t="s">
        <v>88</v>
      </c>
      <c r="C13413" s="2">
        <f>HYPERLINK("https://sao.dolgi.msk.ru/account/1404099638/", 1404099638)</f>
        <v>1404099638</v>
      </c>
      <c r="D13413">
        <v>0</v>
      </c>
    </row>
    <row r="13414" spans="1:4" hidden="1" x14ac:dyDescent="0.25">
      <c r="A13414" t="s">
        <v>717</v>
      </c>
      <c r="B13414" t="s">
        <v>88</v>
      </c>
      <c r="C13414" s="2">
        <f>HYPERLINK("https://sao.dolgi.msk.ru/account/1404139804/", 1404139804)</f>
        <v>1404139804</v>
      </c>
      <c r="D13414">
        <v>0</v>
      </c>
    </row>
    <row r="13415" spans="1:4" hidden="1" x14ac:dyDescent="0.25">
      <c r="A13415" t="s">
        <v>717</v>
      </c>
      <c r="B13415" t="s">
        <v>89</v>
      </c>
      <c r="C13415" s="2">
        <f>HYPERLINK("https://sao.dolgi.msk.ru/account/1404092428/", 1404092428)</f>
        <v>1404092428</v>
      </c>
      <c r="D13415">
        <v>-5475.53</v>
      </c>
    </row>
    <row r="13416" spans="1:4" x14ac:dyDescent="0.25">
      <c r="A13416" t="s">
        <v>717</v>
      </c>
      <c r="B13416" t="s">
        <v>90</v>
      </c>
      <c r="C13416" s="2">
        <f>HYPERLINK("https://sao.dolgi.msk.ru/account/1404091951/", 1404091951)</f>
        <v>1404091951</v>
      </c>
      <c r="D13416">
        <v>5646.55</v>
      </c>
    </row>
    <row r="13417" spans="1:4" hidden="1" x14ac:dyDescent="0.25">
      <c r="A13417" t="s">
        <v>717</v>
      </c>
      <c r="B13417" t="s">
        <v>91</v>
      </c>
      <c r="C13417" s="2">
        <f>HYPERLINK("https://sao.dolgi.msk.ru/account/1404094773/", 1404094773)</f>
        <v>1404094773</v>
      </c>
      <c r="D13417">
        <v>-5795.3</v>
      </c>
    </row>
    <row r="13418" spans="1:4" hidden="1" x14ac:dyDescent="0.25">
      <c r="A13418" t="s">
        <v>717</v>
      </c>
      <c r="B13418" t="s">
        <v>92</v>
      </c>
      <c r="C13418" s="2">
        <f>HYPERLINK("https://sao.dolgi.msk.ru/account/1404096066/", 1404096066)</f>
        <v>1404096066</v>
      </c>
      <c r="D13418">
        <v>0</v>
      </c>
    </row>
    <row r="13419" spans="1:4" hidden="1" x14ac:dyDescent="0.25">
      <c r="A13419" t="s">
        <v>717</v>
      </c>
      <c r="B13419" t="s">
        <v>93</v>
      </c>
      <c r="C13419" s="2">
        <f>HYPERLINK("https://sao.dolgi.msk.ru/account/1404096031/", 1404096031)</f>
        <v>1404096031</v>
      </c>
      <c r="D13419">
        <v>-8771.02</v>
      </c>
    </row>
    <row r="13420" spans="1:4" hidden="1" x14ac:dyDescent="0.25">
      <c r="A13420" t="s">
        <v>717</v>
      </c>
      <c r="B13420" t="s">
        <v>94</v>
      </c>
      <c r="C13420" s="2">
        <f>HYPERLINK("https://sao.dolgi.msk.ru/account/1404092882/", 1404092882)</f>
        <v>1404092882</v>
      </c>
      <c r="D13420">
        <v>-884.91</v>
      </c>
    </row>
    <row r="13421" spans="1:4" hidden="1" x14ac:dyDescent="0.25">
      <c r="A13421" t="s">
        <v>717</v>
      </c>
      <c r="B13421" t="s">
        <v>95</v>
      </c>
      <c r="C13421" s="2">
        <f>HYPERLINK("https://sao.dolgi.msk.ru/account/1404091994/", 1404091994)</f>
        <v>1404091994</v>
      </c>
      <c r="D13421">
        <v>-9460.7900000000009</v>
      </c>
    </row>
    <row r="13422" spans="1:4" hidden="1" x14ac:dyDescent="0.25">
      <c r="A13422" t="s">
        <v>717</v>
      </c>
      <c r="B13422" t="s">
        <v>96</v>
      </c>
      <c r="C13422" s="2">
        <f>HYPERLINK("https://sao.dolgi.msk.ru/account/1404091724/", 1404091724)</f>
        <v>1404091724</v>
      </c>
      <c r="D13422">
        <v>-4646.47</v>
      </c>
    </row>
    <row r="13423" spans="1:4" hidden="1" x14ac:dyDescent="0.25">
      <c r="A13423" t="s">
        <v>717</v>
      </c>
      <c r="B13423" t="s">
        <v>97</v>
      </c>
      <c r="C13423" s="2">
        <f>HYPERLINK("https://sao.dolgi.msk.ru/account/1404098029/", 1404098029)</f>
        <v>1404098029</v>
      </c>
      <c r="D13423">
        <v>-690</v>
      </c>
    </row>
    <row r="13424" spans="1:4" hidden="1" x14ac:dyDescent="0.25">
      <c r="A13424" t="s">
        <v>717</v>
      </c>
      <c r="B13424" t="s">
        <v>98</v>
      </c>
      <c r="C13424" s="2">
        <f>HYPERLINK("https://sao.dolgi.msk.ru/account/1404091812/", 1404091812)</f>
        <v>1404091812</v>
      </c>
      <c r="D13424">
        <v>-6304.98</v>
      </c>
    </row>
    <row r="13425" spans="1:4" hidden="1" x14ac:dyDescent="0.25">
      <c r="A13425" t="s">
        <v>717</v>
      </c>
      <c r="B13425" t="s">
        <v>99</v>
      </c>
      <c r="C13425" s="2">
        <f>HYPERLINK("https://sao.dolgi.msk.ru/account/1404094837/", 1404094837)</f>
        <v>1404094837</v>
      </c>
      <c r="D13425">
        <v>-8626.7900000000009</v>
      </c>
    </row>
    <row r="13426" spans="1:4" hidden="1" x14ac:dyDescent="0.25">
      <c r="A13426" t="s">
        <v>717</v>
      </c>
      <c r="B13426" t="s">
        <v>100</v>
      </c>
      <c r="C13426" s="2">
        <f>HYPERLINK("https://sao.dolgi.msk.ru/account/1404099654/", 1404099654)</f>
        <v>1404099654</v>
      </c>
      <c r="D13426">
        <v>-9840.0300000000007</v>
      </c>
    </row>
    <row r="13427" spans="1:4" hidden="1" x14ac:dyDescent="0.25">
      <c r="A13427" t="s">
        <v>717</v>
      </c>
      <c r="B13427" t="s">
        <v>101</v>
      </c>
      <c r="C13427" s="2">
        <f>HYPERLINK("https://sao.dolgi.msk.ru/account/1404154748/", 1404154748)</f>
        <v>1404154748</v>
      </c>
      <c r="D13427">
        <v>-3050.03</v>
      </c>
    </row>
    <row r="13428" spans="1:4" hidden="1" x14ac:dyDescent="0.25">
      <c r="A13428" t="s">
        <v>717</v>
      </c>
      <c r="B13428" t="s">
        <v>102</v>
      </c>
      <c r="C13428" s="2">
        <f>HYPERLINK("https://sao.dolgi.msk.ru/account/1404140063/", 1404140063)</f>
        <v>1404140063</v>
      </c>
      <c r="D13428">
        <v>0</v>
      </c>
    </row>
    <row r="13429" spans="1:4" hidden="1" x14ac:dyDescent="0.25">
      <c r="A13429" t="s">
        <v>717</v>
      </c>
      <c r="B13429" t="s">
        <v>103</v>
      </c>
      <c r="C13429" s="2">
        <f>HYPERLINK("https://sao.dolgi.msk.ru/account/1404099697/", 1404099697)</f>
        <v>1404099697</v>
      </c>
      <c r="D13429">
        <v>0</v>
      </c>
    </row>
    <row r="13430" spans="1:4" x14ac:dyDescent="0.25">
      <c r="A13430" t="s">
        <v>717</v>
      </c>
      <c r="B13430" t="s">
        <v>103</v>
      </c>
      <c r="C13430" s="2">
        <f>HYPERLINK("https://sao.dolgi.msk.ru/account/1404139935/", 1404139935)</f>
        <v>1404139935</v>
      </c>
      <c r="D13430">
        <v>17272.310000000001</v>
      </c>
    </row>
    <row r="13431" spans="1:4" hidden="1" x14ac:dyDescent="0.25">
      <c r="A13431" t="s">
        <v>717</v>
      </c>
      <c r="B13431" t="s">
        <v>104</v>
      </c>
      <c r="C13431" s="2">
        <f>HYPERLINK("https://sao.dolgi.msk.ru/account/1404099822/", 1404099822)</f>
        <v>1404099822</v>
      </c>
      <c r="D13431">
        <v>-4549.1899999999996</v>
      </c>
    </row>
    <row r="13432" spans="1:4" hidden="1" x14ac:dyDescent="0.25">
      <c r="A13432" t="s">
        <v>717</v>
      </c>
      <c r="B13432" t="s">
        <v>105</v>
      </c>
      <c r="C13432" s="2">
        <f>HYPERLINK("https://sao.dolgi.msk.ru/account/1404095194/", 1404095194)</f>
        <v>1404095194</v>
      </c>
      <c r="D13432">
        <v>-668.04</v>
      </c>
    </row>
    <row r="13433" spans="1:4" hidden="1" x14ac:dyDescent="0.25">
      <c r="A13433" t="s">
        <v>717</v>
      </c>
      <c r="B13433" t="s">
        <v>106</v>
      </c>
      <c r="C13433" s="2">
        <f>HYPERLINK("https://sao.dolgi.msk.ru/account/1404094167/", 1404094167)</f>
        <v>1404094167</v>
      </c>
      <c r="D13433">
        <v>-12848.85</v>
      </c>
    </row>
    <row r="13434" spans="1:4" hidden="1" x14ac:dyDescent="0.25">
      <c r="A13434" t="s">
        <v>717</v>
      </c>
      <c r="B13434" t="s">
        <v>107</v>
      </c>
      <c r="C13434" s="2">
        <f>HYPERLINK("https://sao.dolgi.msk.ru/account/1404099849/", 1404099849)</f>
        <v>1404099849</v>
      </c>
      <c r="D13434">
        <v>-3729.35</v>
      </c>
    </row>
    <row r="13435" spans="1:4" hidden="1" x14ac:dyDescent="0.25">
      <c r="A13435" t="s">
        <v>717</v>
      </c>
      <c r="B13435" t="s">
        <v>108</v>
      </c>
      <c r="C13435" s="2">
        <f>HYPERLINK("https://sao.dolgi.msk.ru/account/1404099857/", 1404099857)</f>
        <v>1404099857</v>
      </c>
      <c r="D13435">
        <v>0</v>
      </c>
    </row>
    <row r="13436" spans="1:4" hidden="1" x14ac:dyDescent="0.25">
      <c r="A13436" t="s">
        <v>717</v>
      </c>
      <c r="B13436" t="s">
        <v>108</v>
      </c>
      <c r="C13436" s="2">
        <f>HYPERLINK("https://sao.dolgi.msk.ru/account/1404139812/", 1404139812)</f>
        <v>1404139812</v>
      </c>
      <c r="D13436">
        <v>-7264.96</v>
      </c>
    </row>
    <row r="13437" spans="1:4" hidden="1" x14ac:dyDescent="0.25">
      <c r="A13437" t="s">
        <v>717</v>
      </c>
      <c r="B13437" t="s">
        <v>109</v>
      </c>
      <c r="C13437" s="2">
        <f>HYPERLINK("https://sao.dolgi.msk.ru/account/1404099865/", 1404099865)</f>
        <v>1404099865</v>
      </c>
      <c r="D13437">
        <v>-90.74</v>
      </c>
    </row>
    <row r="13438" spans="1:4" hidden="1" x14ac:dyDescent="0.25">
      <c r="A13438" t="s">
        <v>717</v>
      </c>
      <c r="B13438" t="s">
        <v>110</v>
      </c>
      <c r="C13438" s="2">
        <f>HYPERLINK("https://sao.dolgi.msk.ru/account/1404153649/", 1404153649)</f>
        <v>1404153649</v>
      </c>
      <c r="D13438">
        <v>-5787.16</v>
      </c>
    </row>
    <row r="13439" spans="1:4" hidden="1" x14ac:dyDescent="0.25">
      <c r="A13439" t="s">
        <v>717</v>
      </c>
      <c r="B13439" t="s">
        <v>111</v>
      </c>
      <c r="C13439" s="2">
        <f>HYPERLINK("https://sao.dolgi.msk.ru/account/1404153948/", 1404153948)</f>
        <v>1404153948</v>
      </c>
      <c r="D13439">
        <v>-6981.02</v>
      </c>
    </row>
    <row r="13440" spans="1:4" hidden="1" x14ac:dyDescent="0.25">
      <c r="A13440" t="s">
        <v>717</v>
      </c>
      <c r="B13440" t="s">
        <v>112</v>
      </c>
      <c r="C13440" s="2">
        <f>HYPERLINK("https://sao.dolgi.msk.ru/account/1404092233/", 1404092233)</f>
        <v>1404092233</v>
      </c>
      <c r="D13440">
        <v>0</v>
      </c>
    </row>
    <row r="13441" spans="1:4" hidden="1" x14ac:dyDescent="0.25">
      <c r="A13441" t="s">
        <v>717</v>
      </c>
      <c r="B13441" t="s">
        <v>113</v>
      </c>
      <c r="C13441" s="2">
        <f>HYPERLINK("https://sao.dolgi.msk.ru/account/1404139986/", 1404139986)</f>
        <v>1404139986</v>
      </c>
      <c r="D13441">
        <v>-4731.66</v>
      </c>
    </row>
    <row r="13442" spans="1:4" hidden="1" x14ac:dyDescent="0.25">
      <c r="A13442" t="s">
        <v>717</v>
      </c>
      <c r="B13442" t="s">
        <v>114</v>
      </c>
      <c r="C13442" s="2">
        <f>HYPERLINK("https://sao.dolgi.msk.ru/account/1404092815/", 1404092815)</f>
        <v>1404092815</v>
      </c>
      <c r="D13442">
        <v>-191</v>
      </c>
    </row>
    <row r="13443" spans="1:4" hidden="1" x14ac:dyDescent="0.25">
      <c r="A13443" t="s">
        <v>717</v>
      </c>
      <c r="B13443" t="s">
        <v>115</v>
      </c>
      <c r="C13443" s="2">
        <f>HYPERLINK("https://sao.dolgi.msk.ru/account/1404099996/", 1404099996)</f>
        <v>1404099996</v>
      </c>
      <c r="D13443">
        <v>-5759.49</v>
      </c>
    </row>
    <row r="13444" spans="1:4" x14ac:dyDescent="0.25">
      <c r="A13444" t="s">
        <v>717</v>
      </c>
      <c r="B13444" t="s">
        <v>116</v>
      </c>
      <c r="C13444" s="2">
        <f>HYPERLINK("https://sao.dolgi.msk.ru/account/1404092399/", 1404092399)</f>
        <v>1404092399</v>
      </c>
      <c r="D13444">
        <v>73341.77</v>
      </c>
    </row>
    <row r="13445" spans="1:4" hidden="1" x14ac:dyDescent="0.25">
      <c r="A13445" t="s">
        <v>717</v>
      </c>
      <c r="B13445" t="s">
        <v>117</v>
      </c>
      <c r="C13445" s="2">
        <f>HYPERLINK("https://sao.dolgi.msk.ru/account/1404094757/", 1404094757)</f>
        <v>1404094757</v>
      </c>
      <c r="D13445">
        <v>-6784.29</v>
      </c>
    </row>
    <row r="13446" spans="1:4" hidden="1" x14ac:dyDescent="0.25">
      <c r="A13446" t="s">
        <v>717</v>
      </c>
      <c r="B13446" t="s">
        <v>118</v>
      </c>
      <c r="C13446" s="2">
        <f>HYPERLINK("https://sao.dolgi.msk.ru/account/1404092479/", 1404092479)</f>
        <v>1404092479</v>
      </c>
      <c r="D13446">
        <v>-5846.15</v>
      </c>
    </row>
    <row r="13447" spans="1:4" hidden="1" x14ac:dyDescent="0.25">
      <c r="A13447" t="s">
        <v>717</v>
      </c>
      <c r="B13447" t="s">
        <v>119</v>
      </c>
      <c r="C13447" s="2">
        <f>HYPERLINK("https://sao.dolgi.msk.ru/account/1404139994/", 1404139994)</f>
        <v>1404139994</v>
      </c>
      <c r="D13447">
        <v>-449.11</v>
      </c>
    </row>
    <row r="13448" spans="1:4" hidden="1" x14ac:dyDescent="0.25">
      <c r="A13448" t="s">
        <v>717</v>
      </c>
      <c r="B13448" t="s">
        <v>120</v>
      </c>
      <c r="C13448" s="2">
        <f>HYPERLINK("https://sao.dolgi.msk.ru/account/1404092436/", 1404092436)</f>
        <v>1404092436</v>
      </c>
      <c r="D13448">
        <v>-3619.03</v>
      </c>
    </row>
    <row r="13449" spans="1:4" x14ac:dyDescent="0.25">
      <c r="A13449" t="s">
        <v>717</v>
      </c>
      <c r="B13449" t="s">
        <v>121</v>
      </c>
      <c r="C13449" s="2">
        <f>HYPERLINK("https://sao.dolgi.msk.ru/account/1404100029/", 1404100029)</f>
        <v>1404100029</v>
      </c>
      <c r="D13449">
        <v>91520.31</v>
      </c>
    </row>
    <row r="13450" spans="1:4" hidden="1" x14ac:dyDescent="0.25">
      <c r="A13450" t="s">
        <v>717</v>
      </c>
      <c r="B13450" t="s">
        <v>122</v>
      </c>
      <c r="C13450" s="2">
        <f>HYPERLINK("https://sao.dolgi.msk.ru/account/1404092022/", 1404092022)</f>
        <v>1404092022</v>
      </c>
      <c r="D13450">
        <v>-7599.28</v>
      </c>
    </row>
    <row r="13451" spans="1:4" x14ac:dyDescent="0.25">
      <c r="A13451" t="s">
        <v>717</v>
      </c>
      <c r="B13451" t="s">
        <v>123</v>
      </c>
      <c r="C13451" s="2">
        <f>HYPERLINK("https://sao.dolgi.msk.ru/account/1404091839/", 1404091839)</f>
        <v>1404091839</v>
      </c>
      <c r="D13451">
        <v>6974.78</v>
      </c>
    </row>
    <row r="13452" spans="1:4" hidden="1" x14ac:dyDescent="0.25">
      <c r="A13452" t="s">
        <v>717</v>
      </c>
      <c r="B13452" t="s">
        <v>124</v>
      </c>
      <c r="C13452" s="2">
        <f>HYPERLINK("https://sao.dolgi.msk.ru/account/1404092719/", 1404092719)</f>
        <v>1404092719</v>
      </c>
      <c r="D13452">
        <v>-191</v>
      </c>
    </row>
    <row r="13453" spans="1:4" x14ac:dyDescent="0.25">
      <c r="A13453" t="s">
        <v>717</v>
      </c>
      <c r="B13453" t="s">
        <v>125</v>
      </c>
      <c r="C13453" s="2">
        <f>HYPERLINK("https://sao.dolgi.msk.ru/account/1404100053/", 1404100053)</f>
        <v>1404100053</v>
      </c>
      <c r="D13453">
        <v>51278.28</v>
      </c>
    </row>
    <row r="13454" spans="1:4" hidden="1" x14ac:dyDescent="0.25">
      <c r="A13454" t="s">
        <v>717</v>
      </c>
      <c r="B13454" t="s">
        <v>126</v>
      </c>
      <c r="C13454" s="2">
        <f>HYPERLINK("https://sao.dolgi.msk.ru/account/1404100088/", 1404100088)</f>
        <v>1404100088</v>
      </c>
      <c r="D13454">
        <v>-6775.11</v>
      </c>
    </row>
    <row r="13455" spans="1:4" hidden="1" x14ac:dyDescent="0.25">
      <c r="A13455" t="s">
        <v>717</v>
      </c>
      <c r="B13455" t="s">
        <v>127</v>
      </c>
      <c r="C13455" s="2">
        <f>HYPERLINK("https://sao.dolgi.msk.ru/account/1404092639/", 1404092639)</f>
        <v>1404092639</v>
      </c>
      <c r="D13455">
        <v>-6864.57</v>
      </c>
    </row>
    <row r="13456" spans="1:4" x14ac:dyDescent="0.25">
      <c r="A13456" t="s">
        <v>717</v>
      </c>
      <c r="B13456" t="s">
        <v>128</v>
      </c>
      <c r="C13456" s="2">
        <f>HYPERLINK("https://sao.dolgi.msk.ru/account/1404100109/", 1404100109)</f>
        <v>1404100109</v>
      </c>
      <c r="D13456">
        <v>10511.76</v>
      </c>
    </row>
    <row r="13457" spans="1:4" hidden="1" x14ac:dyDescent="0.25">
      <c r="A13457" t="s">
        <v>717</v>
      </c>
      <c r="B13457" t="s">
        <v>129</v>
      </c>
      <c r="C13457" s="2">
        <f>HYPERLINK("https://sao.dolgi.msk.ru/account/1404100125/", 1404100125)</f>
        <v>1404100125</v>
      </c>
      <c r="D13457">
        <v>-7408.71</v>
      </c>
    </row>
    <row r="13458" spans="1:4" hidden="1" x14ac:dyDescent="0.25">
      <c r="A13458" t="s">
        <v>717</v>
      </c>
      <c r="B13458" t="s">
        <v>130</v>
      </c>
      <c r="C13458" s="2">
        <f>HYPERLINK("https://sao.dolgi.msk.ru/account/1404093156/", 1404093156)</f>
        <v>1404093156</v>
      </c>
      <c r="D13458">
        <v>-7941.37</v>
      </c>
    </row>
    <row r="13459" spans="1:4" hidden="1" x14ac:dyDescent="0.25">
      <c r="A13459" t="s">
        <v>717</v>
      </c>
      <c r="B13459" t="s">
        <v>131</v>
      </c>
      <c r="C13459" s="2">
        <f>HYPERLINK("https://sao.dolgi.msk.ru/account/1404100133/", 1404100133)</f>
        <v>1404100133</v>
      </c>
      <c r="D13459">
        <v>-6773.07</v>
      </c>
    </row>
    <row r="13460" spans="1:4" hidden="1" x14ac:dyDescent="0.25">
      <c r="A13460" t="s">
        <v>717</v>
      </c>
      <c r="B13460" t="s">
        <v>132</v>
      </c>
      <c r="C13460" s="2">
        <f>HYPERLINK("https://sao.dolgi.msk.ru/account/1404152603/", 1404152603)</f>
        <v>1404152603</v>
      </c>
      <c r="D13460">
        <v>-7069.33</v>
      </c>
    </row>
    <row r="13461" spans="1:4" x14ac:dyDescent="0.25">
      <c r="A13461" t="s">
        <v>717</v>
      </c>
      <c r="B13461" t="s">
        <v>133</v>
      </c>
      <c r="C13461" s="2">
        <f>HYPERLINK("https://sao.dolgi.msk.ru/account/1404092372/", 1404092372)</f>
        <v>1404092372</v>
      </c>
      <c r="D13461">
        <v>11291.82</v>
      </c>
    </row>
    <row r="13462" spans="1:4" hidden="1" x14ac:dyDescent="0.25">
      <c r="A13462" t="s">
        <v>717</v>
      </c>
      <c r="B13462" t="s">
        <v>134</v>
      </c>
      <c r="C13462" s="2">
        <f>HYPERLINK("https://sao.dolgi.msk.ru/account/1404100205/", 1404100205)</f>
        <v>1404100205</v>
      </c>
      <c r="D13462">
        <v>-7498.46</v>
      </c>
    </row>
    <row r="13463" spans="1:4" x14ac:dyDescent="0.25">
      <c r="A13463" t="s">
        <v>717</v>
      </c>
      <c r="B13463" t="s">
        <v>135</v>
      </c>
      <c r="C13463" s="2">
        <f>HYPERLINK("https://sao.dolgi.msk.ru/account/1404100221/", 1404100221)</f>
        <v>1404100221</v>
      </c>
      <c r="D13463">
        <v>20872.78</v>
      </c>
    </row>
    <row r="13464" spans="1:4" hidden="1" x14ac:dyDescent="0.25">
      <c r="A13464" t="s">
        <v>717</v>
      </c>
      <c r="B13464" t="s">
        <v>136</v>
      </c>
      <c r="C13464" s="2">
        <f>HYPERLINK("https://sao.dolgi.msk.ru/account/1404094722/", 1404094722)</f>
        <v>1404094722</v>
      </c>
      <c r="D13464">
        <v>-11715.85</v>
      </c>
    </row>
    <row r="13465" spans="1:4" hidden="1" x14ac:dyDescent="0.25">
      <c r="A13465" t="s">
        <v>717</v>
      </c>
      <c r="B13465" t="s">
        <v>137</v>
      </c>
      <c r="C13465" s="2">
        <f>HYPERLINK("https://sao.dolgi.msk.ru/account/1404092487/", 1404092487)</f>
        <v>1404092487</v>
      </c>
      <c r="D13465">
        <v>-191</v>
      </c>
    </row>
    <row r="13466" spans="1:4" hidden="1" x14ac:dyDescent="0.25">
      <c r="A13466" t="s">
        <v>717</v>
      </c>
      <c r="B13466" t="s">
        <v>138</v>
      </c>
      <c r="C13466" s="2">
        <f>HYPERLINK("https://sao.dolgi.msk.ru/account/1404091644/", 1404091644)</f>
        <v>1404091644</v>
      </c>
      <c r="D13466">
        <v>-9289.5400000000009</v>
      </c>
    </row>
    <row r="13467" spans="1:4" hidden="1" x14ac:dyDescent="0.25">
      <c r="A13467" t="s">
        <v>717</v>
      </c>
      <c r="B13467" t="s">
        <v>139</v>
      </c>
      <c r="C13467" s="2">
        <f>HYPERLINK("https://sao.dolgi.msk.ru/account/1404092567/", 1404092567)</f>
        <v>1404092567</v>
      </c>
      <c r="D13467">
        <v>-715.12</v>
      </c>
    </row>
    <row r="13468" spans="1:4" hidden="1" x14ac:dyDescent="0.25">
      <c r="A13468" t="s">
        <v>717</v>
      </c>
      <c r="B13468" t="s">
        <v>140</v>
      </c>
      <c r="C13468" s="2">
        <f>HYPERLINK("https://sao.dolgi.msk.ru/account/1404153307/", 1404153307)</f>
        <v>1404153307</v>
      </c>
      <c r="D13468">
        <v>0</v>
      </c>
    </row>
    <row r="13469" spans="1:4" hidden="1" x14ac:dyDescent="0.25">
      <c r="A13469" t="s">
        <v>717</v>
      </c>
      <c r="B13469" t="s">
        <v>141</v>
      </c>
      <c r="C13469" s="2">
        <f>HYPERLINK("https://sao.dolgi.msk.ru/account/1404100272/", 1404100272)</f>
        <v>1404100272</v>
      </c>
      <c r="D13469">
        <v>0</v>
      </c>
    </row>
    <row r="13470" spans="1:4" hidden="1" x14ac:dyDescent="0.25">
      <c r="A13470" t="s">
        <v>717</v>
      </c>
      <c r="B13470" t="s">
        <v>142</v>
      </c>
      <c r="C13470" s="2">
        <f>HYPERLINK("https://sao.dolgi.msk.ru/account/1404097958/", 1404097958)</f>
        <v>1404097958</v>
      </c>
      <c r="D13470">
        <v>-6104.01</v>
      </c>
    </row>
    <row r="13471" spans="1:4" hidden="1" x14ac:dyDescent="0.25">
      <c r="A13471" t="s">
        <v>717</v>
      </c>
      <c r="B13471" t="s">
        <v>143</v>
      </c>
      <c r="C13471" s="2">
        <f>HYPERLINK("https://sao.dolgi.msk.ru/account/1404092495/", 1404092495)</f>
        <v>1404092495</v>
      </c>
      <c r="D13471">
        <v>-191</v>
      </c>
    </row>
    <row r="13472" spans="1:4" hidden="1" x14ac:dyDescent="0.25">
      <c r="A13472" t="s">
        <v>717</v>
      </c>
      <c r="B13472" t="s">
        <v>144</v>
      </c>
      <c r="C13472" s="2">
        <f>HYPERLINK("https://sao.dolgi.msk.ru/account/1404091716/", 1404091716)</f>
        <v>1404091716</v>
      </c>
      <c r="D13472">
        <v>-7136.26</v>
      </c>
    </row>
    <row r="13473" spans="1:4" hidden="1" x14ac:dyDescent="0.25">
      <c r="A13473" t="s">
        <v>717</v>
      </c>
      <c r="B13473" t="s">
        <v>145</v>
      </c>
      <c r="C13473" s="2">
        <f>HYPERLINK("https://sao.dolgi.msk.ru/account/1404091804/", 1404091804)</f>
        <v>1404091804</v>
      </c>
      <c r="D13473">
        <v>-5786.71</v>
      </c>
    </row>
    <row r="13474" spans="1:4" hidden="1" x14ac:dyDescent="0.25">
      <c r="A13474" t="s">
        <v>717</v>
      </c>
      <c r="B13474" t="s">
        <v>146</v>
      </c>
      <c r="C13474" s="2">
        <f>HYPERLINK("https://sao.dolgi.msk.ru/account/1404092401/", 1404092401)</f>
        <v>1404092401</v>
      </c>
      <c r="D13474">
        <v>-1217.82</v>
      </c>
    </row>
    <row r="13475" spans="1:4" hidden="1" x14ac:dyDescent="0.25">
      <c r="A13475" t="s">
        <v>717</v>
      </c>
      <c r="B13475" t="s">
        <v>147</v>
      </c>
      <c r="C13475" s="2">
        <f>HYPERLINK("https://sao.dolgi.msk.ru/account/1404100301/", 1404100301)</f>
        <v>1404100301</v>
      </c>
      <c r="D13475">
        <v>-9671.24</v>
      </c>
    </row>
    <row r="13476" spans="1:4" hidden="1" x14ac:dyDescent="0.25">
      <c r="A13476" t="s">
        <v>717</v>
      </c>
      <c r="B13476" t="s">
        <v>148</v>
      </c>
      <c r="C13476" s="2">
        <f>HYPERLINK("https://sao.dolgi.msk.ru/account/1404091935/", 1404091935)</f>
        <v>1404091935</v>
      </c>
      <c r="D13476">
        <v>-10667.83</v>
      </c>
    </row>
    <row r="13477" spans="1:4" hidden="1" x14ac:dyDescent="0.25">
      <c r="A13477" t="s">
        <v>717</v>
      </c>
      <c r="B13477" t="s">
        <v>149</v>
      </c>
      <c r="C13477" s="2">
        <f>HYPERLINK("https://sao.dolgi.msk.ru/account/1404093084/", 1404093084)</f>
        <v>1404093084</v>
      </c>
      <c r="D13477">
        <v>-2105.35</v>
      </c>
    </row>
    <row r="13478" spans="1:4" hidden="1" x14ac:dyDescent="0.25">
      <c r="A13478" t="s">
        <v>717</v>
      </c>
      <c r="B13478" t="s">
        <v>150</v>
      </c>
      <c r="C13478" s="2">
        <f>HYPERLINK("https://sao.dolgi.msk.ru/account/1404139652/", 1404139652)</f>
        <v>1404139652</v>
      </c>
      <c r="D13478">
        <v>-6153.31</v>
      </c>
    </row>
    <row r="13479" spans="1:4" hidden="1" x14ac:dyDescent="0.25">
      <c r="A13479" t="s">
        <v>717</v>
      </c>
      <c r="B13479" t="s">
        <v>151</v>
      </c>
      <c r="C13479" s="2">
        <f>HYPERLINK("https://sao.dolgi.msk.ru/account/1404091484/", 1404091484)</f>
        <v>1404091484</v>
      </c>
      <c r="D13479">
        <v>-1208.27</v>
      </c>
    </row>
    <row r="13480" spans="1:4" hidden="1" x14ac:dyDescent="0.25">
      <c r="A13480" t="s">
        <v>717</v>
      </c>
      <c r="B13480" t="s">
        <v>152</v>
      </c>
      <c r="C13480" s="2">
        <f>HYPERLINK("https://sao.dolgi.msk.ru/account/1404100336/", 1404100336)</f>
        <v>1404100336</v>
      </c>
      <c r="D13480">
        <v>-7489.87</v>
      </c>
    </row>
    <row r="13481" spans="1:4" hidden="1" x14ac:dyDescent="0.25">
      <c r="A13481" t="s">
        <v>717</v>
      </c>
      <c r="B13481" t="s">
        <v>153</v>
      </c>
      <c r="C13481" s="2">
        <f>HYPERLINK("https://sao.dolgi.msk.ru/account/1404092946/", 1404092946)</f>
        <v>1404092946</v>
      </c>
      <c r="D13481">
        <v>-538.51</v>
      </c>
    </row>
    <row r="13482" spans="1:4" hidden="1" x14ac:dyDescent="0.25">
      <c r="A13482" t="s">
        <v>717</v>
      </c>
      <c r="B13482" t="s">
        <v>154</v>
      </c>
      <c r="C13482" s="2">
        <f>HYPERLINK("https://sao.dolgi.msk.ru/account/1404091652/", 1404091652)</f>
        <v>1404091652</v>
      </c>
      <c r="D13482">
        <v>-5029.82</v>
      </c>
    </row>
    <row r="13483" spans="1:4" hidden="1" x14ac:dyDescent="0.25">
      <c r="A13483" t="s">
        <v>717</v>
      </c>
      <c r="B13483" t="s">
        <v>155</v>
      </c>
      <c r="C13483" s="2">
        <f>HYPERLINK("https://sao.dolgi.msk.ru/account/1404139396/", 1404139396)</f>
        <v>1404139396</v>
      </c>
      <c r="D13483">
        <v>-3873.76</v>
      </c>
    </row>
    <row r="13484" spans="1:4" hidden="1" x14ac:dyDescent="0.25">
      <c r="A13484" t="s">
        <v>717</v>
      </c>
      <c r="B13484" t="s">
        <v>156</v>
      </c>
      <c r="C13484" s="2">
        <f>HYPERLINK("https://sao.dolgi.msk.ru/account/1404092583/", 1404092583)</f>
        <v>1404092583</v>
      </c>
      <c r="D13484">
        <v>-5893.31</v>
      </c>
    </row>
    <row r="13485" spans="1:4" hidden="1" x14ac:dyDescent="0.25">
      <c r="A13485" t="s">
        <v>717</v>
      </c>
      <c r="B13485" t="s">
        <v>157</v>
      </c>
      <c r="C13485" s="2">
        <f>HYPERLINK("https://sao.dolgi.msk.ru/account/1404100379/", 1404100379)</f>
        <v>1404100379</v>
      </c>
      <c r="D13485">
        <v>0</v>
      </c>
    </row>
    <row r="13486" spans="1:4" hidden="1" x14ac:dyDescent="0.25">
      <c r="A13486" t="s">
        <v>717</v>
      </c>
      <c r="B13486" t="s">
        <v>158</v>
      </c>
      <c r="C13486" s="2">
        <f>HYPERLINK("https://sao.dolgi.msk.ru/account/1404153999/", 1404153999)</f>
        <v>1404153999</v>
      </c>
      <c r="D13486">
        <v>0</v>
      </c>
    </row>
    <row r="13487" spans="1:4" hidden="1" x14ac:dyDescent="0.25">
      <c r="A13487" t="s">
        <v>717</v>
      </c>
      <c r="B13487" t="s">
        <v>159</v>
      </c>
      <c r="C13487" s="2">
        <f>HYPERLINK("https://sao.dolgi.msk.ru/account/1404091599/", 1404091599)</f>
        <v>1404091599</v>
      </c>
      <c r="D13487">
        <v>-683.57</v>
      </c>
    </row>
    <row r="13488" spans="1:4" x14ac:dyDescent="0.25">
      <c r="A13488" t="s">
        <v>717</v>
      </c>
      <c r="B13488" t="s">
        <v>160</v>
      </c>
      <c r="C13488" s="2">
        <f>HYPERLINK("https://sao.dolgi.msk.ru/account/1404093121/", 1404093121)</f>
        <v>1404093121</v>
      </c>
      <c r="D13488">
        <v>20263.21</v>
      </c>
    </row>
    <row r="13489" spans="1:4" hidden="1" x14ac:dyDescent="0.25">
      <c r="A13489" t="s">
        <v>717</v>
      </c>
      <c r="B13489" t="s">
        <v>161</v>
      </c>
      <c r="C13489" s="2">
        <f>HYPERLINK("https://sao.dolgi.msk.ru/account/1404150288/", 1404150288)</f>
        <v>1404150288</v>
      </c>
      <c r="D13489">
        <v>-122.7</v>
      </c>
    </row>
    <row r="13490" spans="1:4" hidden="1" x14ac:dyDescent="0.25">
      <c r="A13490" t="s">
        <v>717</v>
      </c>
      <c r="B13490" t="s">
        <v>162</v>
      </c>
      <c r="C13490" s="2">
        <f>HYPERLINK("https://sao.dolgi.msk.ru/account/1404091783/", 1404091783)</f>
        <v>1404091783</v>
      </c>
      <c r="D13490">
        <v>-9482.6299999999992</v>
      </c>
    </row>
    <row r="13491" spans="1:4" hidden="1" x14ac:dyDescent="0.25">
      <c r="A13491" t="s">
        <v>717</v>
      </c>
      <c r="B13491" t="s">
        <v>163</v>
      </c>
      <c r="C13491" s="2">
        <f>HYPERLINK("https://sao.dolgi.msk.ru/account/1404094175/", 1404094175)</f>
        <v>1404094175</v>
      </c>
      <c r="D13491">
        <v>-605.41999999999996</v>
      </c>
    </row>
    <row r="13492" spans="1:4" x14ac:dyDescent="0.25">
      <c r="A13492" t="s">
        <v>717</v>
      </c>
      <c r="B13492" t="s">
        <v>164</v>
      </c>
      <c r="C13492" s="2">
        <f>HYPERLINK("https://sao.dolgi.msk.ru/account/1404150528/", 1404150528)</f>
        <v>1404150528</v>
      </c>
      <c r="D13492">
        <v>9564.2900000000009</v>
      </c>
    </row>
    <row r="13493" spans="1:4" hidden="1" x14ac:dyDescent="0.25">
      <c r="A13493" t="s">
        <v>717</v>
      </c>
      <c r="B13493" t="s">
        <v>165</v>
      </c>
      <c r="C13493" s="2">
        <f>HYPERLINK("https://sao.dolgi.msk.ru/account/1404092989/", 1404092989)</f>
        <v>1404092989</v>
      </c>
      <c r="D13493">
        <v>-8110.88</v>
      </c>
    </row>
    <row r="13494" spans="1:4" hidden="1" x14ac:dyDescent="0.25">
      <c r="A13494" t="s">
        <v>717</v>
      </c>
      <c r="B13494" t="s">
        <v>166</v>
      </c>
      <c r="C13494" s="2">
        <f>HYPERLINK("https://sao.dolgi.msk.ru/account/1404092938/", 1404092938)</f>
        <v>1404092938</v>
      </c>
      <c r="D13494">
        <v>-4748.29</v>
      </c>
    </row>
    <row r="13495" spans="1:4" hidden="1" x14ac:dyDescent="0.25">
      <c r="A13495" t="s">
        <v>717</v>
      </c>
      <c r="B13495" t="s">
        <v>167</v>
      </c>
      <c r="C13495" s="2">
        <f>HYPERLINK("https://sao.dolgi.msk.ru/account/1404100432/", 1404100432)</f>
        <v>1404100432</v>
      </c>
      <c r="D13495">
        <v>-3523.69</v>
      </c>
    </row>
    <row r="13496" spans="1:4" hidden="1" x14ac:dyDescent="0.25">
      <c r="A13496" t="s">
        <v>717</v>
      </c>
      <c r="B13496" t="s">
        <v>168</v>
      </c>
      <c r="C13496" s="2">
        <f>HYPERLINK("https://sao.dolgi.msk.ru/account/1404092743/", 1404092743)</f>
        <v>1404092743</v>
      </c>
      <c r="D13496">
        <v>-7934.48</v>
      </c>
    </row>
    <row r="13497" spans="1:4" hidden="1" x14ac:dyDescent="0.25">
      <c r="A13497" t="s">
        <v>717</v>
      </c>
      <c r="B13497" t="s">
        <v>169</v>
      </c>
      <c r="C13497" s="2">
        <f>HYPERLINK("https://sao.dolgi.msk.ru/account/1404092137/", 1404092137)</f>
        <v>1404092137</v>
      </c>
      <c r="D13497">
        <v>-1219.27</v>
      </c>
    </row>
    <row r="13498" spans="1:4" hidden="1" x14ac:dyDescent="0.25">
      <c r="A13498" t="s">
        <v>717</v>
      </c>
      <c r="B13498" t="s">
        <v>170</v>
      </c>
      <c r="C13498" s="2">
        <f>HYPERLINK("https://sao.dolgi.msk.ru/account/1404100475/", 1404100475)</f>
        <v>1404100475</v>
      </c>
      <c r="D13498">
        <v>-5594.61</v>
      </c>
    </row>
    <row r="13499" spans="1:4" hidden="1" x14ac:dyDescent="0.25">
      <c r="A13499" t="s">
        <v>717</v>
      </c>
      <c r="B13499" t="s">
        <v>171</v>
      </c>
      <c r="C13499" s="2">
        <f>HYPERLINK("https://sao.dolgi.msk.ru/account/1404093279/", 1404093279)</f>
        <v>1404093279</v>
      </c>
      <c r="D13499">
        <v>-337.48</v>
      </c>
    </row>
    <row r="13500" spans="1:4" hidden="1" x14ac:dyDescent="0.25">
      <c r="A13500" t="s">
        <v>717</v>
      </c>
      <c r="B13500" t="s">
        <v>172</v>
      </c>
      <c r="C13500" s="2">
        <f>HYPERLINK("https://sao.dolgi.msk.ru/account/1404091927/", 1404091927)</f>
        <v>1404091927</v>
      </c>
      <c r="D13500">
        <v>-5385.29</v>
      </c>
    </row>
    <row r="13501" spans="1:4" x14ac:dyDescent="0.25">
      <c r="A13501" t="s">
        <v>717</v>
      </c>
      <c r="B13501" t="s">
        <v>173</v>
      </c>
      <c r="C13501" s="2">
        <f>HYPERLINK("https://sao.dolgi.msk.ru/account/1404094888/", 1404094888)</f>
        <v>1404094888</v>
      </c>
      <c r="D13501">
        <v>4952.28</v>
      </c>
    </row>
    <row r="13502" spans="1:4" hidden="1" x14ac:dyDescent="0.25">
      <c r="A13502" t="s">
        <v>717</v>
      </c>
      <c r="B13502" t="s">
        <v>174</v>
      </c>
      <c r="C13502" s="2">
        <f>HYPERLINK("https://sao.dolgi.msk.ru/account/1404092102/", 1404092102)</f>
        <v>1404092102</v>
      </c>
      <c r="D13502">
        <v>-5314.65</v>
      </c>
    </row>
    <row r="13503" spans="1:4" hidden="1" x14ac:dyDescent="0.25">
      <c r="A13503" t="s">
        <v>717</v>
      </c>
      <c r="B13503" t="s">
        <v>175</v>
      </c>
      <c r="C13503" s="2">
        <f>HYPERLINK("https://sao.dolgi.msk.ru/account/1404092954/", 1404092954)</f>
        <v>1404092954</v>
      </c>
      <c r="D13503">
        <v>0</v>
      </c>
    </row>
    <row r="13504" spans="1:4" hidden="1" x14ac:dyDescent="0.25">
      <c r="A13504" t="s">
        <v>717</v>
      </c>
      <c r="B13504" t="s">
        <v>176</v>
      </c>
      <c r="C13504" s="2">
        <f>HYPERLINK("https://sao.dolgi.msk.ru/account/1404092604/", 1404092604)</f>
        <v>1404092604</v>
      </c>
      <c r="D13504">
        <v>-6404.67</v>
      </c>
    </row>
    <row r="13505" spans="1:4" hidden="1" x14ac:dyDescent="0.25">
      <c r="A13505" t="s">
        <v>717</v>
      </c>
      <c r="B13505" t="s">
        <v>177</v>
      </c>
      <c r="C13505" s="2">
        <f>HYPERLINK("https://sao.dolgi.msk.ru/account/1404154852/", 1404154852)</f>
        <v>1404154852</v>
      </c>
      <c r="D13505">
        <v>-8293.76</v>
      </c>
    </row>
    <row r="13506" spans="1:4" hidden="1" x14ac:dyDescent="0.25">
      <c r="A13506" t="s">
        <v>717</v>
      </c>
      <c r="B13506" t="s">
        <v>178</v>
      </c>
      <c r="C13506" s="2">
        <f>HYPERLINK("https://sao.dolgi.msk.ru/account/1404092647/", 1404092647)</f>
        <v>1404092647</v>
      </c>
      <c r="D13506">
        <v>-1845.26</v>
      </c>
    </row>
    <row r="13507" spans="1:4" hidden="1" x14ac:dyDescent="0.25">
      <c r="A13507" t="s">
        <v>717</v>
      </c>
      <c r="B13507" t="s">
        <v>178</v>
      </c>
      <c r="C13507" s="2">
        <f>HYPERLINK("https://sao.dolgi.msk.ru/account/1404093041/", 1404093041)</f>
        <v>1404093041</v>
      </c>
      <c r="D13507">
        <v>-5149.6099999999997</v>
      </c>
    </row>
    <row r="13508" spans="1:4" hidden="1" x14ac:dyDescent="0.25">
      <c r="A13508" t="s">
        <v>717</v>
      </c>
      <c r="B13508" t="s">
        <v>179</v>
      </c>
      <c r="C13508" s="2">
        <f>HYPERLINK("https://sao.dolgi.msk.ru/account/1404150309/", 1404150309)</f>
        <v>1404150309</v>
      </c>
      <c r="D13508">
        <v>0</v>
      </c>
    </row>
    <row r="13509" spans="1:4" hidden="1" x14ac:dyDescent="0.25">
      <c r="A13509" t="s">
        <v>717</v>
      </c>
      <c r="B13509" t="s">
        <v>180</v>
      </c>
      <c r="C13509" s="2">
        <f>HYPERLINK("https://sao.dolgi.msk.ru/account/1404092276/", 1404092276)</f>
        <v>1404092276</v>
      </c>
      <c r="D13509">
        <v>-5692.95</v>
      </c>
    </row>
    <row r="13510" spans="1:4" hidden="1" x14ac:dyDescent="0.25">
      <c r="A13510" t="s">
        <v>717</v>
      </c>
      <c r="B13510" t="s">
        <v>181</v>
      </c>
      <c r="C13510" s="2">
        <f>HYPERLINK("https://sao.dolgi.msk.ru/account/1404094765/", 1404094765)</f>
        <v>1404094765</v>
      </c>
      <c r="D13510">
        <v>-1429.13</v>
      </c>
    </row>
    <row r="13511" spans="1:4" hidden="1" x14ac:dyDescent="0.25">
      <c r="A13511" t="s">
        <v>717</v>
      </c>
      <c r="B13511" t="s">
        <v>182</v>
      </c>
      <c r="C13511" s="2">
        <f>HYPERLINK("https://sao.dolgi.msk.ru/account/1404092524/", 1404092524)</f>
        <v>1404092524</v>
      </c>
      <c r="D13511">
        <v>-5566.38</v>
      </c>
    </row>
    <row r="13512" spans="1:4" hidden="1" x14ac:dyDescent="0.25">
      <c r="A13512" t="s">
        <v>717</v>
      </c>
      <c r="B13512" t="s">
        <v>183</v>
      </c>
      <c r="C13512" s="2">
        <f>HYPERLINK("https://sao.dolgi.msk.ru/account/1404095143/", 1404095143)</f>
        <v>1404095143</v>
      </c>
      <c r="D13512">
        <v>-8336.08</v>
      </c>
    </row>
    <row r="13513" spans="1:4" hidden="1" x14ac:dyDescent="0.25">
      <c r="A13513" t="s">
        <v>717</v>
      </c>
      <c r="B13513" t="s">
        <v>184</v>
      </c>
      <c r="C13513" s="2">
        <f>HYPERLINK("https://sao.dolgi.msk.ru/account/1404091855/", 1404091855)</f>
        <v>1404091855</v>
      </c>
      <c r="D13513">
        <v>0</v>
      </c>
    </row>
    <row r="13514" spans="1:4" hidden="1" x14ac:dyDescent="0.25">
      <c r="A13514" t="s">
        <v>717</v>
      </c>
      <c r="B13514" t="s">
        <v>185</v>
      </c>
      <c r="C13514" s="2">
        <f>HYPERLINK("https://sao.dolgi.msk.ru/account/1404140194/", 1404140194)</f>
        <v>1404140194</v>
      </c>
      <c r="D13514">
        <v>0</v>
      </c>
    </row>
    <row r="13515" spans="1:4" hidden="1" x14ac:dyDescent="0.25">
      <c r="A13515" t="s">
        <v>717</v>
      </c>
      <c r="B13515" t="s">
        <v>186</v>
      </c>
      <c r="C13515" s="2">
        <f>HYPERLINK("https://sao.dolgi.msk.ru/account/1404094896/", 1404094896)</f>
        <v>1404094896</v>
      </c>
      <c r="D13515">
        <v>-5427.28</v>
      </c>
    </row>
    <row r="13516" spans="1:4" hidden="1" x14ac:dyDescent="0.25">
      <c r="A13516" t="s">
        <v>717</v>
      </c>
      <c r="B13516" t="s">
        <v>187</v>
      </c>
      <c r="C13516" s="2">
        <f>HYPERLINK("https://sao.dolgi.msk.ru/account/1404092145/", 1404092145)</f>
        <v>1404092145</v>
      </c>
      <c r="D13516">
        <v>-6211.09</v>
      </c>
    </row>
    <row r="13517" spans="1:4" hidden="1" x14ac:dyDescent="0.25">
      <c r="A13517" t="s">
        <v>717</v>
      </c>
      <c r="B13517" t="s">
        <v>188</v>
      </c>
      <c r="C13517" s="2">
        <f>HYPERLINK("https://sao.dolgi.msk.ru/account/1404100539/", 1404100539)</f>
        <v>1404100539</v>
      </c>
      <c r="D13517">
        <v>0</v>
      </c>
    </row>
    <row r="13518" spans="1:4" hidden="1" x14ac:dyDescent="0.25">
      <c r="A13518" t="s">
        <v>717</v>
      </c>
      <c r="B13518" t="s">
        <v>188</v>
      </c>
      <c r="C13518" s="2">
        <f>HYPERLINK("https://sao.dolgi.msk.ru/account/1404149623/", 1404149623)</f>
        <v>1404149623</v>
      </c>
      <c r="D13518">
        <v>-6185.65</v>
      </c>
    </row>
    <row r="13519" spans="1:4" x14ac:dyDescent="0.25">
      <c r="A13519" t="s">
        <v>717</v>
      </c>
      <c r="B13519" t="s">
        <v>189</v>
      </c>
      <c r="C13519" s="2">
        <f>HYPERLINK("https://sao.dolgi.msk.ru/account/1404092874/", 1404092874)</f>
        <v>1404092874</v>
      </c>
      <c r="D13519">
        <v>601.16</v>
      </c>
    </row>
    <row r="13520" spans="1:4" hidden="1" x14ac:dyDescent="0.25">
      <c r="A13520" t="s">
        <v>717</v>
      </c>
      <c r="B13520" t="s">
        <v>190</v>
      </c>
      <c r="C13520" s="2">
        <f>HYPERLINK("https://sao.dolgi.msk.ru/account/1404094781/", 1404094781)</f>
        <v>1404094781</v>
      </c>
      <c r="D13520">
        <v>-10470.61</v>
      </c>
    </row>
    <row r="13521" spans="1:4" hidden="1" x14ac:dyDescent="0.25">
      <c r="A13521" t="s">
        <v>717</v>
      </c>
      <c r="B13521" t="s">
        <v>191</v>
      </c>
      <c r="C13521" s="2">
        <f>HYPERLINK("https://sao.dolgi.msk.ru/account/1404150296/", 1404150296)</f>
        <v>1404150296</v>
      </c>
      <c r="D13521">
        <v>-4040.91</v>
      </c>
    </row>
    <row r="13522" spans="1:4" hidden="1" x14ac:dyDescent="0.25">
      <c r="A13522" t="s">
        <v>717</v>
      </c>
      <c r="B13522" t="s">
        <v>192</v>
      </c>
      <c r="C13522" s="2">
        <f>HYPERLINK("https://sao.dolgi.msk.ru/account/1404091759/", 1404091759)</f>
        <v>1404091759</v>
      </c>
      <c r="D13522">
        <v>-12.6</v>
      </c>
    </row>
    <row r="13523" spans="1:4" hidden="1" x14ac:dyDescent="0.25">
      <c r="A13523" t="s">
        <v>717</v>
      </c>
      <c r="B13523" t="s">
        <v>193</v>
      </c>
      <c r="C13523" s="2">
        <f>HYPERLINK("https://sao.dolgi.msk.ru/account/1404097771/", 1404097771)</f>
        <v>1404097771</v>
      </c>
      <c r="D13523">
        <v>-1213.18</v>
      </c>
    </row>
    <row r="13524" spans="1:4" hidden="1" x14ac:dyDescent="0.25">
      <c r="A13524" t="s">
        <v>717</v>
      </c>
      <c r="B13524" t="s">
        <v>194</v>
      </c>
      <c r="C13524" s="2">
        <f>HYPERLINK("https://sao.dolgi.msk.ru/account/1404100555/", 1404100555)</f>
        <v>1404100555</v>
      </c>
      <c r="D13524">
        <v>-6312.68</v>
      </c>
    </row>
    <row r="13525" spans="1:4" hidden="1" x14ac:dyDescent="0.25">
      <c r="A13525" t="s">
        <v>717</v>
      </c>
      <c r="B13525" t="s">
        <v>195</v>
      </c>
      <c r="C13525" s="2">
        <f>HYPERLINK("https://sao.dolgi.msk.ru/account/1404093076/", 1404093076)</f>
        <v>1404093076</v>
      </c>
      <c r="D13525">
        <v>-1371.84</v>
      </c>
    </row>
    <row r="13526" spans="1:4" hidden="1" x14ac:dyDescent="0.25">
      <c r="A13526" t="s">
        <v>717</v>
      </c>
      <c r="B13526" t="s">
        <v>196</v>
      </c>
      <c r="C13526" s="2">
        <f>HYPERLINK("https://sao.dolgi.msk.ru/account/1404091847/", 1404091847)</f>
        <v>1404091847</v>
      </c>
      <c r="D13526">
        <v>-7269.37</v>
      </c>
    </row>
    <row r="13527" spans="1:4" hidden="1" x14ac:dyDescent="0.25">
      <c r="A13527" t="s">
        <v>717</v>
      </c>
      <c r="B13527" t="s">
        <v>197</v>
      </c>
      <c r="C13527" s="2">
        <f>HYPERLINK("https://sao.dolgi.msk.ru/account/1404147521/", 1404147521)</f>
        <v>1404147521</v>
      </c>
      <c r="D13527">
        <v>-5112.2299999999996</v>
      </c>
    </row>
    <row r="13528" spans="1:4" x14ac:dyDescent="0.25">
      <c r="A13528" t="s">
        <v>717</v>
      </c>
      <c r="B13528" t="s">
        <v>198</v>
      </c>
      <c r="C13528" s="2">
        <f>HYPERLINK("https://sao.dolgi.msk.ru/account/1404092305/", 1404092305)</f>
        <v>1404092305</v>
      </c>
      <c r="D13528">
        <v>32626.2</v>
      </c>
    </row>
    <row r="13529" spans="1:4" hidden="1" x14ac:dyDescent="0.25">
      <c r="A13529" t="s">
        <v>717</v>
      </c>
      <c r="B13529" t="s">
        <v>199</v>
      </c>
      <c r="C13529" s="2">
        <f>HYPERLINK("https://sao.dolgi.msk.ru/account/1404091943/", 1404091943)</f>
        <v>1404091943</v>
      </c>
      <c r="D13529">
        <v>-6412.28</v>
      </c>
    </row>
    <row r="13530" spans="1:4" hidden="1" x14ac:dyDescent="0.25">
      <c r="A13530" t="s">
        <v>717</v>
      </c>
      <c r="B13530" t="s">
        <v>200</v>
      </c>
      <c r="C13530" s="2">
        <f>HYPERLINK("https://sao.dolgi.msk.ru/account/1404100571/", 1404100571)</f>
        <v>1404100571</v>
      </c>
      <c r="D13530">
        <v>-6059.68</v>
      </c>
    </row>
    <row r="13531" spans="1:4" hidden="1" x14ac:dyDescent="0.25">
      <c r="A13531" t="s">
        <v>717</v>
      </c>
      <c r="B13531" t="s">
        <v>201</v>
      </c>
      <c r="C13531" s="2">
        <f>HYPERLINK("https://sao.dolgi.msk.ru/account/1404093148/", 1404093148)</f>
        <v>1404093148</v>
      </c>
      <c r="D13531">
        <v>-7441.28</v>
      </c>
    </row>
    <row r="13532" spans="1:4" hidden="1" x14ac:dyDescent="0.25">
      <c r="A13532" t="s">
        <v>717</v>
      </c>
      <c r="B13532" t="s">
        <v>202</v>
      </c>
      <c r="C13532" s="2">
        <f>HYPERLINK("https://sao.dolgi.msk.ru/account/1404094853/", 1404094853)</f>
        <v>1404094853</v>
      </c>
      <c r="D13532">
        <v>0</v>
      </c>
    </row>
    <row r="13533" spans="1:4" x14ac:dyDescent="0.25">
      <c r="A13533" t="s">
        <v>717</v>
      </c>
      <c r="B13533" t="s">
        <v>203</v>
      </c>
      <c r="C13533" s="2">
        <f>HYPERLINK("https://sao.dolgi.msk.ru/account/1404093092/", 1404093092)</f>
        <v>1404093092</v>
      </c>
      <c r="D13533">
        <v>5254.48</v>
      </c>
    </row>
    <row r="13534" spans="1:4" hidden="1" x14ac:dyDescent="0.25">
      <c r="A13534" t="s">
        <v>717</v>
      </c>
      <c r="B13534" t="s">
        <v>204</v>
      </c>
      <c r="C13534" s="2">
        <f>HYPERLINK("https://sao.dolgi.msk.ru/account/1404139409/", 1404139409)</f>
        <v>1404139409</v>
      </c>
      <c r="D13534">
        <v>0</v>
      </c>
    </row>
    <row r="13535" spans="1:4" hidden="1" x14ac:dyDescent="0.25">
      <c r="A13535" t="s">
        <v>717</v>
      </c>
      <c r="B13535" t="s">
        <v>205</v>
      </c>
      <c r="C13535" s="2">
        <f>HYPERLINK("https://sao.dolgi.msk.ru/account/1404092153/", 1404092153)</f>
        <v>1404092153</v>
      </c>
      <c r="D13535">
        <v>-5014.1099999999997</v>
      </c>
    </row>
    <row r="13536" spans="1:4" hidden="1" x14ac:dyDescent="0.25">
      <c r="A13536" t="s">
        <v>717</v>
      </c>
      <c r="B13536" t="s">
        <v>206</v>
      </c>
      <c r="C13536" s="2">
        <f>HYPERLINK("https://sao.dolgi.msk.ru/account/1404139783/", 1404139783)</f>
        <v>1404139783</v>
      </c>
      <c r="D13536">
        <v>-5866.69</v>
      </c>
    </row>
    <row r="13537" spans="1:4" hidden="1" x14ac:dyDescent="0.25">
      <c r="A13537" t="s">
        <v>717</v>
      </c>
      <c r="B13537" t="s">
        <v>207</v>
      </c>
      <c r="C13537" s="2">
        <f>HYPERLINK("https://sao.dolgi.msk.ru/account/1404100619/", 1404100619)</f>
        <v>1404100619</v>
      </c>
      <c r="D13537">
        <v>0</v>
      </c>
    </row>
    <row r="13538" spans="1:4" hidden="1" x14ac:dyDescent="0.25">
      <c r="A13538" t="s">
        <v>717</v>
      </c>
      <c r="B13538" t="s">
        <v>208</v>
      </c>
      <c r="C13538" s="2">
        <f>HYPERLINK("https://sao.dolgi.msk.ru/account/1404093113/", 1404093113)</f>
        <v>1404093113</v>
      </c>
      <c r="D13538">
        <v>-1013.14</v>
      </c>
    </row>
    <row r="13539" spans="1:4" hidden="1" x14ac:dyDescent="0.25">
      <c r="A13539" t="s">
        <v>717</v>
      </c>
      <c r="B13539" t="s">
        <v>209</v>
      </c>
      <c r="C13539" s="2">
        <f>HYPERLINK("https://sao.dolgi.msk.ru/account/1404139978/", 1404139978)</f>
        <v>1404139978</v>
      </c>
      <c r="D13539">
        <v>-3850.09</v>
      </c>
    </row>
    <row r="13540" spans="1:4" hidden="1" x14ac:dyDescent="0.25">
      <c r="A13540" t="s">
        <v>717</v>
      </c>
      <c r="B13540" t="s">
        <v>210</v>
      </c>
      <c r="C13540" s="2">
        <f>HYPERLINK("https://sao.dolgi.msk.ru/account/1404100635/", 1404100635)</f>
        <v>1404100635</v>
      </c>
      <c r="D13540">
        <v>-8297.2199999999993</v>
      </c>
    </row>
    <row r="13541" spans="1:4" hidden="1" x14ac:dyDescent="0.25">
      <c r="A13541" t="s">
        <v>717</v>
      </c>
      <c r="B13541" t="s">
        <v>211</v>
      </c>
      <c r="C13541" s="2">
        <f>HYPERLINK("https://sao.dolgi.msk.ru/account/1404092735/", 1404092735)</f>
        <v>1404092735</v>
      </c>
      <c r="D13541">
        <v>-3795.19</v>
      </c>
    </row>
    <row r="13542" spans="1:4" hidden="1" x14ac:dyDescent="0.25">
      <c r="A13542" t="s">
        <v>717</v>
      </c>
      <c r="B13542" t="s">
        <v>212</v>
      </c>
      <c r="C13542" s="2">
        <f>HYPERLINK("https://sao.dolgi.msk.ru/account/1404100643/", 1404100643)</f>
        <v>1404100643</v>
      </c>
      <c r="D13542">
        <v>-5635.69</v>
      </c>
    </row>
    <row r="13543" spans="1:4" hidden="1" x14ac:dyDescent="0.25">
      <c r="A13543" t="s">
        <v>717</v>
      </c>
      <c r="B13543" t="s">
        <v>213</v>
      </c>
      <c r="C13543" s="2">
        <f>HYPERLINK("https://sao.dolgi.msk.ru/account/1404150544/", 1404150544)</f>
        <v>1404150544</v>
      </c>
      <c r="D13543">
        <v>-6586.78</v>
      </c>
    </row>
    <row r="13544" spans="1:4" hidden="1" x14ac:dyDescent="0.25">
      <c r="A13544" t="s">
        <v>717</v>
      </c>
      <c r="B13544" t="s">
        <v>214</v>
      </c>
      <c r="C13544" s="2">
        <f>HYPERLINK("https://sao.dolgi.msk.ru/account/1404091919/", 1404091919)</f>
        <v>1404091919</v>
      </c>
      <c r="D13544">
        <v>-10938.5</v>
      </c>
    </row>
    <row r="13545" spans="1:4" hidden="1" x14ac:dyDescent="0.25">
      <c r="A13545" t="s">
        <v>717</v>
      </c>
      <c r="B13545" t="s">
        <v>215</v>
      </c>
      <c r="C13545" s="2">
        <f>HYPERLINK("https://sao.dolgi.msk.ru/account/1404140143/", 1404140143)</f>
        <v>1404140143</v>
      </c>
      <c r="D13545">
        <v>-5468.94</v>
      </c>
    </row>
    <row r="13546" spans="1:4" hidden="1" x14ac:dyDescent="0.25">
      <c r="A13546" t="s">
        <v>717</v>
      </c>
      <c r="B13546" t="s">
        <v>216</v>
      </c>
      <c r="C13546" s="2">
        <f>HYPERLINK("https://sao.dolgi.msk.ru/account/1404094159/", 1404094159)</f>
        <v>1404094159</v>
      </c>
      <c r="D13546">
        <v>-8064.01</v>
      </c>
    </row>
    <row r="13547" spans="1:4" hidden="1" x14ac:dyDescent="0.25">
      <c r="A13547" t="s">
        <v>717</v>
      </c>
      <c r="B13547" t="s">
        <v>217</v>
      </c>
      <c r="C13547" s="2">
        <f>HYPERLINK("https://sao.dolgi.msk.ru/account/1404092188/", 1404092188)</f>
        <v>1404092188</v>
      </c>
      <c r="D13547">
        <v>-14673.86</v>
      </c>
    </row>
    <row r="13548" spans="1:4" hidden="1" x14ac:dyDescent="0.25">
      <c r="A13548" t="s">
        <v>717</v>
      </c>
      <c r="B13548" t="s">
        <v>218</v>
      </c>
      <c r="C13548" s="2">
        <f>HYPERLINK("https://sao.dolgi.msk.ru/account/1404091708/", 1404091708)</f>
        <v>1404091708</v>
      </c>
      <c r="D13548">
        <v>-5334.76</v>
      </c>
    </row>
    <row r="13549" spans="1:4" hidden="1" x14ac:dyDescent="0.25">
      <c r="A13549" t="s">
        <v>717</v>
      </c>
      <c r="B13549" t="s">
        <v>219</v>
      </c>
      <c r="C13549" s="2">
        <f>HYPERLINK("https://sao.dolgi.msk.ru/account/1404091548/", 1404091548)</f>
        <v>1404091548</v>
      </c>
      <c r="D13549">
        <v>0</v>
      </c>
    </row>
    <row r="13550" spans="1:4" hidden="1" x14ac:dyDescent="0.25">
      <c r="A13550" t="s">
        <v>717</v>
      </c>
      <c r="B13550" t="s">
        <v>220</v>
      </c>
      <c r="C13550" s="2">
        <f>HYPERLINK("https://sao.dolgi.msk.ru/account/1404155281/", 1404155281)</f>
        <v>1404155281</v>
      </c>
      <c r="D13550">
        <v>-8535.67</v>
      </c>
    </row>
    <row r="13551" spans="1:4" hidden="1" x14ac:dyDescent="0.25">
      <c r="A13551" t="s">
        <v>717</v>
      </c>
      <c r="B13551" t="s">
        <v>221</v>
      </c>
      <c r="C13551" s="2">
        <f>HYPERLINK("https://sao.dolgi.msk.ru/account/1404092268/", 1404092268)</f>
        <v>1404092268</v>
      </c>
      <c r="D13551">
        <v>-2941.26</v>
      </c>
    </row>
    <row r="13552" spans="1:4" hidden="1" x14ac:dyDescent="0.25">
      <c r="A13552" t="s">
        <v>717</v>
      </c>
      <c r="B13552" t="s">
        <v>222</v>
      </c>
      <c r="C13552" s="2">
        <f>HYPERLINK("https://sao.dolgi.msk.ru/account/1404100694/", 1404100694)</f>
        <v>1404100694</v>
      </c>
      <c r="D13552">
        <v>-8699.7900000000009</v>
      </c>
    </row>
    <row r="13553" spans="1:4" hidden="1" x14ac:dyDescent="0.25">
      <c r="A13553" t="s">
        <v>717</v>
      </c>
      <c r="B13553" t="s">
        <v>223</v>
      </c>
      <c r="C13553" s="2">
        <f>HYPERLINK("https://sao.dolgi.msk.ru/account/1404100707/", 1404100707)</f>
        <v>1404100707</v>
      </c>
      <c r="D13553">
        <v>-6515.45</v>
      </c>
    </row>
    <row r="13554" spans="1:4" hidden="1" x14ac:dyDescent="0.25">
      <c r="A13554" t="s">
        <v>717</v>
      </c>
      <c r="B13554" t="s">
        <v>224</v>
      </c>
      <c r="C13554" s="2">
        <f>HYPERLINK("https://sao.dolgi.msk.ru/account/1404100715/", 1404100715)</f>
        <v>1404100715</v>
      </c>
      <c r="D13554">
        <v>-6530.25</v>
      </c>
    </row>
    <row r="13555" spans="1:4" hidden="1" x14ac:dyDescent="0.25">
      <c r="A13555" t="s">
        <v>717</v>
      </c>
      <c r="B13555" t="s">
        <v>225</v>
      </c>
      <c r="C13555" s="2">
        <f>HYPERLINK("https://sao.dolgi.msk.ru/account/1404154529/", 1404154529)</f>
        <v>1404154529</v>
      </c>
      <c r="D13555">
        <v>-7356.14</v>
      </c>
    </row>
    <row r="13556" spans="1:4" hidden="1" x14ac:dyDescent="0.25">
      <c r="A13556" t="s">
        <v>718</v>
      </c>
      <c r="B13556" t="s">
        <v>5</v>
      </c>
      <c r="C13556" s="2">
        <f>HYPERLINK("https://sao.dolgi.msk.ru/account/1404217374/", 1404217374)</f>
        <v>1404217374</v>
      </c>
      <c r="D13556">
        <v>0</v>
      </c>
    </row>
    <row r="13557" spans="1:4" x14ac:dyDescent="0.25">
      <c r="A13557" t="s">
        <v>718</v>
      </c>
      <c r="B13557" t="s">
        <v>6</v>
      </c>
      <c r="C13557" s="2">
        <f>HYPERLINK("https://sao.dolgi.msk.ru/account/1404216216/", 1404216216)</f>
        <v>1404216216</v>
      </c>
      <c r="D13557">
        <v>927</v>
      </c>
    </row>
    <row r="13558" spans="1:4" hidden="1" x14ac:dyDescent="0.25">
      <c r="A13558" t="s">
        <v>718</v>
      </c>
      <c r="B13558" t="s">
        <v>7</v>
      </c>
      <c r="C13558" s="2">
        <f>HYPERLINK("https://sao.dolgi.msk.ru/account/1404217227/", 1404217227)</f>
        <v>1404217227</v>
      </c>
      <c r="D13558">
        <v>-11219.34</v>
      </c>
    </row>
    <row r="13559" spans="1:4" hidden="1" x14ac:dyDescent="0.25">
      <c r="A13559" t="s">
        <v>718</v>
      </c>
      <c r="B13559" t="s">
        <v>8</v>
      </c>
      <c r="C13559" s="2">
        <f>HYPERLINK("https://sao.dolgi.msk.ru/account/1404216523/", 1404216523)</f>
        <v>1404216523</v>
      </c>
      <c r="D13559">
        <v>-9033.86</v>
      </c>
    </row>
    <row r="13560" spans="1:4" hidden="1" x14ac:dyDescent="0.25">
      <c r="A13560" t="s">
        <v>718</v>
      </c>
      <c r="B13560" t="s">
        <v>9</v>
      </c>
      <c r="C13560" s="2">
        <f>HYPERLINK("https://sao.dolgi.msk.ru/account/1404217665/", 1404217665)</f>
        <v>1404217665</v>
      </c>
      <c r="D13560">
        <v>0</v>
      </c>
    </row>
    <row r="13561" spans="1:4" x14ac:dyDescent="0.25">
      <c r="A13561" t="s">
        <v>718</v>
      </c>
      <c r="B13561" t="s">
        <v>10</v>
      </c>
      <c r="C13561" s="2">
        <f>HYPERLINK("https://sao.dolgi.msk.ru/account/1404216478/", 1404216478)</f>
        <v>1404216478</v>
      </c>
      <c r="D13561">
        <v>11585.4</v>
      </c>
    </row>
    <row r="13562" spans="1:4" hidden="1" x14ac:dyDescent="0.25">
      <c r="A13562" t="s">
        <v>718</v>
      </c>
      <c r="B13562" t="s">
        <v>11</v>
      </c>
      <c r="C13562" s="2">
        <f>HYPERLINK("https://sao.dolgi.msk.ru/account/1404217083/", 1404217083)</f>
        <v>1404217083</v>
      </c>
      <c r="D13562">
        <v>0</v>
      </c>
    </row>
    <row r="13563" spans="1:4" hidden="1" x14ac:dyDescent="0.25">
      <c r="A13563" t="s">
        <v>718</v>
      </c>
      <c r="B13563" t="s">
        <v>12</v>
      </c>
      <c r="C13563" s="2">
        <f>HYPERLINK("https://sao.dolgi.msk.ru/account/1404216558/", 1404216558)</f>
        <v>1404216558</v>
      </c>
      <c r="D13563">
        <v>-6996.46</v>
      </c>
    </row>
    <row r="13564" spans="1:4" hidden="1" x14ac:dyDescent="0.25">
      <c r="A13564" t="s">
        <v>718</v>
      </c>
      <c r="B13564" t="s">
        <v>13</v>
      </c>
      <c r="C13564" s="2">
        <f>HYPERLINK("https://sao.dolgi.msk.ru/account/1404217032/", 1404217032)</f>
        <v>1404217032</v>
      </c>
      <c r="D13564">
        <v>-9752.39</v>
      </c>
    </row>
    <row r="13565" spans="1:4" hidden="1" x14ac:dyDescent="0.25">
      <c r="A13565" t="s">
        <v>718</v>
      </c>
      <c r="B13565" t="s">
        <v>14</v>
      </c>
      <c r="C13565" s="2">
        <f>HYPERLINK("https://sao.dolgi.msk.ru/account/1404217366/", 1404217366)</f>
        <v>1404217366</v>
      </c>
      <c r="D13565">
        <v>0</v>
      </c>
    </row>
    <row r="13566" spans="1:4" x14ac:dyDescent="0.25">
      <c r="A13566" t="s">
        <v>718</v>
      </c>
      <c r="B13566" t="s">
        <v>15</v>
      </c>
      <c r="C13566" s="2">
        <f>HYPERLINK("https://sao.dolgi.msk.ru/account/1404216347/", 1404216347)</f>
        <v>1404216347</v>
      </c>
      <c r="D13566">
        <v>6299.7</v>
      </c>
    </row>
    <row r="13567" spans="1:4" hidden="1" x14ac:dyDescent="0.25">
      <c r="A13567" t="s">
        <v>718</v>
      </c>
      <c r="B13567" t="s">
        <v>16</v>
      </c>
      <c r="C13567" s="2">
        <f>HYPERLINK("https://sao.dolgi.msk.ru/account/1404215627/", 1404215627)</f>
        <v>1404215627</v>
      </c>
      <c r="D13567">
        <v>-4423.8500000000004</v>
      </c>
    </row>
    <row r="13568" spans="1:4" hidden="1" x14ac:dyDescent="0.25">
      <c r="A13568" t="s">
        <v>718</v>
      </c>
      <c r="B13568" t="s">
        <v>17</v>
      </c>
      <c r="C13568" s="2">
        <f>HYPERLINK("https://sao.dolgi.msk.ru/account/1404217534/", 1404217534)</f>
        <v>1404217534</v>
      </c>
      <c r="D13568">
        <v>-4257.71</v>
      </c>
    </row>
    <row r="13569" spans="1:4" x14ac:dyDescent="0.25">
      <c r="A13569" t="s">
        <v>718</v>
      </c>
      <c r="B13569" t="s">
        <v>18</v>
      </c>
      <c r="C13569" s="2">
        <f>HYPERLINK("https://sao.dolgi.msk.ru/account/1404216339/", 1404216339)</f>
        <v>1404216339</v>
      </c>
      <c r="D13569">
        <v>15067.6</v>
      </c>
    </row>
    <row r="13570" spans="1:4" hidden="1" x14ac:dyDescent="0.25">
      <c r="A13570" t="s">
        <v>718</v>
      </c>
      <c r="B13570" t="s">
        <v>19</v>
      </c>
      <c r="C13570" s="2">
        <f>HYPERLINK("https://sao.dolgi.msk.ru/account/1404216734/", 1404216734)</f>
        <v>1404216734</v>
      </c>
      <c r="D13570">
        <v>-8709.4699999999993</v>
      </c>
    </row>
    <row r="13571" spans="1:4" hidden="1" x14ac:dyDescent="0.25">
      <c r="A13571" t="s">
        <v>718</v>
      </c>
      <c r="B13571" t="s">
        <v>20</v>
      </c>
      <c r="C13571" s="2">
        <f>HYPERLINK("https://sao.dolgi.msk.ru/account/1404217024/", 1404217024)</f>
        <v>1404217024</v>
      </c>
      <c r="D13571">
        <v>-5612.04</v>
      </c>
    </row>
    <row r="13572" spans="1:4" hidden="1" x14ac:dyDescent="0.25">
      <c r="A13572" t="s">
        <v>718</v>
      </c>
      <c r="B13572" t="s">
        <v>21</v>
      </c>
      <c r="C13572" s="2">
        <f>HYPERLINK("https://sao.dolgi.msk.ru/account/1404215846/", 1404215846)</f>
        <v>1404215846</v>
      </c>
      <c r="D13572">
        <v>-11978.46</v>
      </c>
    </row>
    <row r="13573" spans="1:4" hidden="1" x14ac:dyDescent="0.25">
      <c r="A13573" t="s">
        <v>718</v>
      </c>
      <c r="B13573" t="s">
        <v>22</v>
      </c>
      <c r="C13573" s="2">
        <f>HYPERLINK("https://sao.dolgi.msk.ru/account/1404217745/", 1404217745)</f>
        <v>1404217745</v>
      </c>
      <c r="D13573">
        <v>0</v>
      </c>
    </row>
    <row r="13574" spans="1:4" hidden="1" x14ac:dyDescent="0.25">
      <c r="A13574" t="s">
        <v>718</v>
      </c>
      <c r="B13574" t="s">
        <v>23</v>
      </c>
      <c r="C13574" s="2">
        <f>HYPERLINK("https://sao.dolgi.msk.ru/account/1404217243/", 1404217243)</f>
        <v>1404217243</v>
      </c>
      <c r="D13574">
        <v>-12066.97</v>
      </c>
    </row>
    <row r="13575" spans="1:4" hidden="1" x14ac:dyDescent="0.25">
      <c r="A13575" t="s">
        <v>718</v>
      </c>
      <c r="B13575" t="s">
        <v>24</v>
      </c>
      <c r="C13575" s="2">
        <f>HYPERLINK("https://sao.dolgi.msk.ru/account/1404216363/", 1404216363)</f>
        <v>1404216363</v>
      </c>
      <c r="D13575">
        <v>-6618.78</v>
      </c>
    </row>
    <row r="13576" spans="1:4" hidden="1" x14ac:dyDescent="0.25">
      <c r="A13576" t="s">
        <v>718</v>
      </c>
      <c r="B13576" t="s">
        <v>25</v>
      </c>
      <c r="C13576" s="2">
        <f>HYPERLINK("https://sao.dolgi.msk.ru/account/1404218318/", 1404218318)</f>
        <v>1404218318</v>
      </c>
      <c r="D13576">
        <v>0</v>
      </c>
    </row>
    <row r="13577" spans="1:4" hidden="1" x14ac:dyDescent="0.25">
      <c r="A13577" t="s">
        <v>718</v>
      </c>
      <c r="B13577" t="s">
        <v>26</v>
      </c>
      <c r="C13577" s="2">
        <f>HYPERLINK("https://sao.dolgi.msk.ru/account/1404217905/", 1404217905)</f>
        <v>1404217905</v>
      </c>
      <c r="D13577">
        <v>0</v>
      </c>
    </row>
    <row r="13578" spans="1:4" hidden="1" x14ac:dyDescent="0.25">
      <c r="A13578" t="s">
        <v>718</v>
      </c>
      <c r="B13578" t="s">
        <v>27</v>
      </c>
      <c r="C13578" s="2">
        <f>HYPERLINK("https://sao.dolgi.msk.ru/account/1404216275/", 1404216275)</f>
        <v>1404216275</v>
      </c>
      <c r="D13578">
        <v>0</v>
      </c>
    </row>
    <row r="13579" spans="1:4" hidden="1" x14ac:dyDescent="0.25">
      <c r="A13579" t="s">
        <v>718</v>
      </c>
      <c r="B13579" t="s">
        <v>28</v>
      </c>
      <c r="C13579" s="2">
        <f>HYPERLINK("https://sao.dolgi.msk.ru/account/1404216718/", 1404216718)</f>
        <v>1404216718</v>
      </c>
      <c r="D13579">
        <v>0</v>
      </c>
    </row>
    <row r="13580" spans="1:4" hidden="1" x14ac:dyDescent="0.25">
      <c r="A13580" t="s">
        <v>718</v>
      </c>
      <c r="B13580" t="s">
        <v>29</v>
      </c>
      <c r="C13580" s="2">
        <f>HYPERLINK("https://sao.dolgi.msk.ru/account/1404218107/", 1404218107)</f>
        <v>1404218107</v>
      </c>
      <c r="D13580">
        <v>-6336.07</v>
      </c>
    </row>
    <row r="13581" spans="1:4" x14ac:dyDescent="0.25">
      <c r="A13581" t="s">
        <v>718</v>
      </c>
      <c r="B13581" t="s">
        <v>30</v>
      </c>
      <c r="C13581" s="2">
        <f>HYPERLINK("https://sao.dolgi.msk.ru/account/1404217964/", 1404217964)</f>
        <v>1404217964</v>
      </c>
      <c r="D13581">
        <v>13432.75</v>
      </c>
    </row>
    <row r="13582" spans="1:4" hidden="1" x14ac:dyDescent="0.25">
      <c r="A13582" t="s">
        <v>718</v>
      </c>
      <c r="B13582" t="s">
        <v>31</v>
      </c>
      <c r="C13582" s="2">
        <f>HYPERLINK("https://sao.dolgi.msk.ru/account/1404215985/", 1404215985)</f>
        <v>1404215985</v>
      </c>
      <c r="D13582">
        <v>-6168.15</v>
      </c>
    </row>
    <row r="13583" spans="1:4" hidden="1" x14ac:dyDescent="0.25">
      <c r="A13583" t="s">
        <v>718</v>
      </c>
      <c r="B13583" t="s">
        <v>32</v>
      </c>
      <c r="C13583" s="2">
        <f>HYPERLINK("https://sao.dolgi.msk.ru/account/1404217681/", 1404217681)</f>
        <v>1404217681</v>
      </c>
      <c r="D13583">
        <v>0</v>
      </c>
    </row>
    <row r="13584" spans="1:4" hidden="1" x14ac:dyDescent="0.25">
      <c r="A13584" t="s">
        <v>718</v>
      </c>
      <c r="B13584" t="s">
        <v>33</v>
      </c>
      <c r="C13584" s="2">
        <f>HYPERLINK("https://sao.dolgi.msk.ru/account/1404216953/", 1404216953)</f>
        <v>1404216953</v>
      </c>
      <c r="D13584">
        <v>0</v>
      </c>
    </row>
    <row r="13585" spans="1:4" x14ac:dyDescent="0.25">
      <c r="A13585" t="s">
        <v>718</v>
      </c>
      <c r="B13585" t="s">
        <v>34</v>
      </c>
      <c r="C13585" s="2">
        <f>HYPERLINK("https://sao.dolgi.msk.ru/account/1404216144/", 1404216144)</f>
        <v>1404216144</v>
      </c>
      <c r="D13585">
        <v>8931.32</v>
      </c>
    </row>
    <row r="13586" spans="1:4" hidden="1" x14ac:dyDescent="0.25">
      <c r="A13586" t="s">
        <v>718</v>
      </c>
      <c r="B13586" t="s">
        <v>35</v>
      </c>
      <c r="C13586" s="2">
        <f>HYPERLINK("https://sao.dolgi.msk.ru/account/1404217219/", 1404217219)</f>
        <v>1404217219</v>
      </c>
      <c r="D13586">
        <v>-3947.78</v>
      </c>
    </row>
    <row r="13587" spans="1:4" hidden="1" x14ac:dyDescent="0.25">
      <c r="A13587" t="s">
        <v>718</v>
      </c>
      <c r="B13587" t="s">
        <v>36</v>
      </c>
      <c r="C13587" s="2">
        <f>HYPERLINK("https://sao.dolgi.msk.ru/account/1404218115/", 1404218115)</f>
        <v>1404218115</v>
      </c>
      <c r="D13587">
        <v>-5062.9799999999996</v>
      </c>
    </row>
    <row r="13588" spans="1:4" x14ac:dyDescent="0.25">
      <c r="A13588" t="s">
        <v>718</v>
      </c>
      <c r="B13588" t="s">
        <v>37</v>
      </c>
      <c r="C13588" s="2">
        <f>HYPERLINK("https://sao.dolgi.msk.ru/account/1404218019/", 1404218019)</f>
        <v>1404218019</v>
      </c>
      <c r="D13588">
        <v>3083.79</v>
      </c>
    </row>
    <row r="13589" spans="1:4" x14ac:dyDescent="0.25">
      <c r="A13589" t="s">
        <v>718</v>
      </c>
      <c r="B13589" t="s">
        <v>38</v>
      </c>
      <c r="C13589" s="2">
        <f>HYPERLINK("https://sao.dolgi.msk.ru/account/1404217438/", 1404217438)</f>
        <v>1404217438</v>
      </c>
      <c r="D13589">
        <v>9654.6</v>
      </c>
    </row>
    <row r="13590" spans="1:4" hidden="1" x14ac:dyDescent="0.25">
      <c r="A13590" t="s">
        <v>718</v>
      </c>
      <c r="B13590" t="s">
        <v>39</v>
      </c>
      <c r="C13590" s="2">
        <f>HYPERLINK("https://sao.dolgi.msk.ru/account/1404217139/", 1404217139)</f>
        <v>1404217139</v>
      </c>
      <c r="D13590">
        <v>-6742.62</v>
      </c>
    </row>
    <row r="13591" spans="1:4" x14ac:dyDescent="0.25">
      <c r="A13591" t="s">
        <v>718</v>
      </c>
      <c r="B13591" t="s">
        <v>40</v>
      </c>
      <c r="C13591" s="2">
        <f>HYPERLINK("https://sao.dolgi.msk.ru/account/1404217163/", 1404217163)</f>
        <v>1404217163</v>
      </c>
      <c r="D13591">
        <v>7434.33</v>
      </c>
    </row>
    <row r="13592" spans="1:4" hidden="1" x14ac:dyDescent="0.25">
      <c r="A13592" t="s">
        <v>718</v>
      </c>
      <c r="B13592" t="s">
        <v>41</v>
      </c>
      <c r="C13592" s="2">
        <f>HYPERLINK("https://sao.dolgi.msk.ru/account/1404217286/", 1404217286)</f>
        <v>1404217286</v>
      </c>
      <c r="D13592">
        <v>0</v>
      </c>
    </row>
    <row r="13593" spans="1:4" hidden="1" x14ac:dyDescent="0.25">
      <c r="A13593" t="s">
        <v>718</v>
      </c>
      <c r="B13593" t="s">
        <v>42</v>
      </c>
      <c r="C13593" s="2">
        <f>HYPERLINK("https://sao.dolgi.msk.ru/account/1404218094/", 1404218094)</f>
        <v>1404218094</v>
      </c>
      <c r="D13593">
        <v>-10231.700000000001</v>
      </c>
    </row>
    <row r="13594" spans="1:4" hidden="1" x14ac:dyDescent="0.25">
      <c r="A13594" t="s">
        <v>718</v>
      </c>
      <c r="B13594" t="s">
        <v>43</v>
      </c>
      <c r="C13594" s="2">
        <f>HYPERLINK("https://sao.dolgi.msk.ru/account/1404217796/", 1404217796)</f>
        <v>1404217796</v>
      </c>
      <c r="D13594">
        <v>-8813.26</v>
      </c>
    </row>
    <row r="13595" spans="1:4" hidden="1" x14ac:dyDescent="0.25">
      <c r="A13595" t="s">
        <v>718</v>
      </c>
      <c r="B13595" t="s">
        <v>44</v>
      </c>
      <c r="C13595" s="2">
        <f>HYPERLINK("https://sao.dolgi.msk.ru/account/1404216742/", 1404216742)</f>
        <v>1404216742</v>
      </c>
      <c r="D13595">
        <v>-3774.71</v>
      </c>
    </row>
    <row r="13596" spans="1:4" hidden="1" x14ac:dyDescent="0.25">
      <c r="A13596" t="s">
        <v>718</v>
      </c>
      <c r="B13596" t="s">
        <v>45</v>
      </c>
      <c r="C13596" s="2">
        <f>HYPERLINK("https://sao.dolgi.msk.ru/account/1404216507/", 1404216507)</f>
        <v>1404216507</v>
      </c>
      <c r="D13596">
        <v>-5088.2299999999996</v>
      </c>
    </row>
    <row r="13597" spans="1:4" hidden="1" x14ac:dyDescent="0.25">
      <c r="A13597" t="s">
        <v>718</v>
      </c>
      <c r="B13597" t="s">
        <v>46</v>
      </c>
      <c r="C13597" s="2">
        <f>HYPERLINK("https://sao.dolgi.msk.ru/account/1404217294/", 1404217294)</f>
        <v>1404217294</v>
      </c>
      <c r="D13597">
        <v>-5413.14</v>
      </c>
    </row>
    <row r="13598" spans="1:4" hidden="1" x14ac:dyDescent="0.25">
      <c r="A13598" t="s">
        <v>718</v>
      </c>
      <c r="B13598" t="s">
        <v>47</v>
      </c>
      <c r="C13598" s="2">
        <f>HYPERLINK("https://sao.dolgi.msk.ru/account/1404218158/", 1404218158)</f>
        <v>1404218158</v>
      </c>
      <c r="D13598">
        <v>-7080.26</v>
      </c>
    </row>
    <row r="13599" spans="1:4" hidden="1" x14ac:dyDescent="0.25">
      <c r="A13599" t="s">
        <v>718</v>
      </c>
      <c r="B13599" t="s">
        <v>48</v>
      </c>
      <c r="C13599" s="2">
        <f>HYPERLINK("https://sao.dolgi.msk.ru/account/1404216697/", 1404216697)</f>
        <v>1404216697</v>
      </c>
      <c r="D13599">
        <v>-8128.23</v>
      </c>
    </row>
    <row r="13600" spans="1:4" x14ac:dyDescent="0.25">
      <c r="A13600" t="s">
        <v>718</v>
      </c>
      <c r="B13600" t="s">
        <v>49</v>
      </c>
      <c r="C13600" s="2">
        <f>HYPERLINK("https://sao.dolgi.msk.ru/account/1404218166/", 1404218166)</f>
        <v>1404218166</v>
      </c>
      <c r="D13600">
        <v>58835.58</v>
      </c>
    </row>
    <row r="13601" spans="1:4" hidden="1" x14ac:dyDescent="0.25">
      <c r="A13601" t="s">
        <v>718</v>
      </c>
      <c r="B13601" t="s">
        <v>50</v>
      </c>
      <c r="C13601" s="2">
        <f>HYPERLINK("https://sao.dolgi.msk.ru/account/1404216689/", 1404216689)</f>
        <v>1404216689</v>
      </c>
      <c r="D13601">
        <v>-1835.93</v>
      </c>
    </row>
    <row r="13602" spans="1:4" hidden="1" x14ac:dyDescent="0.25">
      <c r="A13602" t="s">
        <v>718</v>
      </c>
      <c r="B13602" t="s">
        <v>51</v>
      </c>
      <c r="C13602" s="2">
        <f>HYPERLINK("https://sao.dolgi.msk.ru/account/1404215942/", 1404215942)</f>
        <v>1404215942</v>
      </c>
      <c r="D13602">
        <v>-5172.9399999999996</v>
      </c>
    </row>
    <row r="13603" spans="1:4" hidden="1" x14ac:dyDescent="0.25">
      <c r="A13603" t="s">
        <v>718</v>
      </c>
      <c r="B13603" t="s">
        <v>52</v>
      </c>
      <c r="C13603" s="2">
        <f>HYPERLINK("https://sao.dolgi.msk.ru/account/1404218131/", 1404218131)</f>
        <v>1404218131</v>
      </c>
      <c r="D13603">
        <v>0</v>
      </c>
    </row>
    <row r="13604" spans="1:4" hidden="1" x14ac:dyDescent="0.25">
      <c r="A13604" t="s">
        <v>718</v>
      </c>
      <c r="B13604" t="s">
        <v>53</v>
      </c>
      <c r="C13604" s="2">
        <f>HYPERLINK("https://sao.dolgi.msk.ru/account/1404216232/", 1404216232)</f>
        <v>1404216232</v>
      </c>
      <c r="D13604">
        <v>-8453</v>
      </c>
    </row>
    <row r="13605" spans="1:4" hidden="1" x14ac:dyDescent="0.25">
      <c r="A13605" t="s">
        <v>718</v>
      </c>
      <c r="B13605" t="s">
        <v>54</v>
      </c>
      <c r="C13605" s="2">
        <f>HYPERLINK("https://sao.dolgi.msk.ru/account/1404216777/", 1404216777)</f>
        <v>1404216777</v>
      </c>
      <c r="D13605">
        <v>-7133.22</v>
      </c>
    </row>
    <row r="13606" spans="1:4" hidden="1" x14ac:dyDescent="0.25">
      <c r="A13606" t="s">
        <v>718</v>
      </c>
      <c r="B13606" t="s">
        <v>55</v>
      </c>
      <c r="C13606" s="2">
        <f>HYPERLINK("https://sao.dolgi.msk.ru/account/1404217462/", 1404217462)</f>
        <v>1404217462</v>
      </c>
      <c r="D13606">
        <v>-5646.86</v>
      </c>
    </row>
    <row r="13607" spans="1:4" hidden="1" x14ac:dyDescent="0.25">
      <c r="A13607" t="s">
        <v>718</v>
      </c>
      <c r="B13607" t="s">
        <v>56</v>
      </c>
      <c r="C13607" s="2">
        <f>HYPERLINK("https://sao.dolgi.msk.ru/account/1404216726/", 1404216726)</f>
        <v>1404216726</v>
      </c>
      <c r="D13607">
        <v>-8414.75</v>
      </c>
    </row>
    <row r="13608" spans="1:4" hidden="1" x14ac:dyDescent="0.25">
      <c r="A13608" t="s">
        <v>718</v>
      </c>
      <c r="B13608" t="s">
        <v>57</v>
      </c>
      <c r="C13608" s="2">
        <f>HYPERLINK("https://sao.dolgi.msk.ru/account/1404216638/", 1404216638)</f>
        <v>1404216638</v>
      </c>
      <c r="D13608">
        <v>-8419.51</v>
      </c>
    </row>
    <row r="13609" spans="1:4" hidden="1" x14ac:dyDescent="0.25">
      <c r="A13609" t="s">
        <v>718</v>
      </c>
      <c r="B13609" t="s">
        <v>58</v>
      </c>
      <c r="C13609" s="2">
        <f>HYPERLINK("https://sao.dolgi.msk.ru/account/1404217382/", 1404217382)</f>
        <v>1404217382</v>
      </c>
      <c r="D13609">
        <v>0</v>
      </c>
    </row>
    <row r="13610" spans="1:4" hidden="1" x14ac:dyDescent="0.25">
      <c r="A13610" t="s">
        <v>718</v>
      </c>
      <c r="B13610" t="s">
        <v>59</v>
      </c>
      <c r="C13610" s="2">
        <f>HYPERLINK("https://sao.dolgi.msk.ru/account/1404218334/", 1404218334)</f>
        <v>1404218334</v>
      </c>
      <c r="D13610">
        <v>-5571.55</v>
      </c>
    </row>
    <row r="13611" spans="1:4" x14ac:dyDescent="0.25">
      <c r="A13611" t="s">
        <v>718</v>
      </c>
      <c r="B13611" t="s">
        <v>60</v>
      </c>
      <c r="C13611" s="2">
        <f>HYPERLINK("https://sao.dolgi.msk.ru/account/1404217868/", 1404217868)</f>
        <v>1404217868</v>
      </c>
      <c r="D13611">
        <v>4464.6899999999996</v>
      </c>
    </row>
    <row r="13612" spans="1:4" x14ac:dyDescent="0.25">
      <c r="A13612" t="s">
        <v>718</v>
      </c>
      <c r="B13612" t="s">
        <v>61</v>
      </c>
      <c r="C13612" s="2">
        <f>HYPERLINK("https://sao.dolgi.msk.ru/account/1404217091/", 1404217091)</f>
        <v>1404217091</v>
      </c>
      <c r="D13612">
        <v>32226.81</v>
      </c>
    </row>
    <row r="13613" spans="1:4" hidden="1" x14ac:dyDescent="0.25">
      <c r="A13613" t="s">
        <v>718</v>
      </c>
      <c r="B13613" t="s">
        <v>62</v>
      </c>
      <c r="C13613" s="2">
        <f>HYPERLINK("https://sao.dolgi.msk.ru/account/1404216822/", 1404216822)</f>
        <v>1404216822</v>
      </c>
      <c r="D13613">
        <v>0</v>
      </c>
    </row>
    <row r="13614" spans="1:4" hidden="1" x14ac:dyDescent="0.25">
      <c r="A13614" t="s">
        <v>718</v>
      </c>
      <c r="B13614" t="s">
        <v>63</v>
      </c>
      <c r="C13614" s="2">
        <f>HYPERLINK("https://sao.dolgi.msk.ru/account/1404215707/", 1404215707)</f>
        <v>1404215707</v>
      </c>
      <c r="D13614">
        <v>-8494.6200000000008</v>
      </c>
    </row>
    <row r="13615" spans="1:4" hidden="1" x14ac:dyDescent="0.25">
      <c r="A13615" t="s">
        <v>718</v>
      </c>
      <c r="B13615" t="s">
        <v>64</v>
      </c>
      <c r="C13615" s="2">
        <f>HYPERLINK("https://sao.dolgi.msk.ru/account/1404218211/", 1404218211)</f>
        <v>1404218211</v>
      </c>
      <c r="D13615">
        <v>0</v>
      </c>
    </row>
    <row r="13616" spans="1:4" hidden="1" x14ac:dyDescent="0.25">
      <c r="A13616" t="s">
        <v>718</v>
      </c>
      <c r="B13616" t="s">
        <v>65</v>
      </c>
      <c r="C13616" s="2">
        <f>HYPERLINK("https://sao.dolgi.msk.ru/account/1404217593/", 1404217593)</f>
        <v>1404217593</v>
      </c>
      <c r="D13616">
        <v>0</v>
      </c>
    </row>
    <row r="13617" spans="1:4" hidden="1" x14ac:dyDescent="0.25">
      <c r="A13617" t="s">
        <v>718</v>
      </c>
      <c r="B13617" t="s">
        <v>66</v>
      </c>
      <c r="C13617" s="2">
        <f>HYPERLINK("https://sao.dolgi.msk.ru/account/1404215619/", 1404215619)</f>
        <v>1404215619</v>
      </c>
      <c r="D13617">
        <v>-6173.9</v>
      </c>
    </row>
    <row r="13618" spans="1:4" hidden="1" x14ac:dyDescent="0.25">
      <c r="A13618" t="s">
        <v>718</v>
      </c>
      <c r="B13618" t="s">
        <v>67</v>
      </c>
      <c r="C13618" s="2">
        <f>HYPERLINK("https://sao.dolgi.msk.ru/account/1404217673/", 1404217673)</f>
        <v>1404217673</v>
      </c>
      <c r="D13618">
        <v>0</v>
      </c>
    </row>
    <row r="13619" spans="1:4" hidden="1" x14ac:dyDescent="0.25">
      <c r="A13619" t="s">
        <v>718</v>
      </c>
      <c r="B13619" t="s">
        <v>68</v>
      </c>
      <c r="C13619" s="2">
        <f>HYPERLINK("https://sao.dolgi.msk.ru/account/1404216793/", 1404216793)</f>
        <v>1404216793</v>
      </c>
      <c r="D13619">
        <v>-8047.4</v>
      </c>
    </row>
    <row r="13620" spans="1:4" hidden="1" x14ac:dyDescent="0.25">
      <c r="A13620" t="s">
        <v>718</v>
      </c>
      <c r="B13620" t="s">
        <v>69</v>
      </c>
      <c r="C13620" s="2">
        <f>HYPERLINK("https://sao.dolgi.msk.ru/account/1404218123/", 1404218123)</f>
        <v>1404218123</v>
      </c>
      <c r="D13620">
        <v>-4217.55</v>
      </c>
    </row>
    <row r="13621" spans="1:4" hidden="1" x14ac:dyDescent="0.25">
      <c r="A13621" t="s">
        <v>718</v>
      </c>
      <c r="B13621" t="s">
        <v>70</v>
      </c>
      <c r="C13621" s="2">
        <f>HYPERLINK("https://sao.dolgi.msk.ru/account/1404217825/", 1404217825)</f>
        <v>1404217825</v>
      </c>
      <c r="D13621">
        <v>-2256.5700000000002</v>
      </c>
    </row>
    <row r="13622" spans="1:4" hidden="1" x14ac:dyDescent="0.25">
      <c r="A13622" t="s">
        <v>718</v>
      </c>
      <c r="B13622" t="s">
        <v>71</v>
      </c>
      <c r="C13622" s="2">
        <f>HYPERLINK("https://sao.dolgi.msk.ru/account/1404218246/", 1404218246)</f>
        <v>1404218246</v>
      </c>
      <c r="D13622">
        <v>-8502.9599999999991</v>
      </c>
    </row>
    <row r="13623" spans="1:4" hidden="1" x14ac:dyDescent="0.25">
      <c r="A13623" t="s">
        <v>718</v>
      </c>
      <c r="B13623" t="s">
        <v>72</v>
      </c>
      <c r="C13623" s="2">
        <f>HYPERLINK("https://sao.dolgi.msk.ru/account/1404216101/", 1404216101)</f>
        <v>1404216101</v>
      </c>
      <c r="D13623">
        <v>-6385.36</v>
      </c>
    </row>
    <row r="13624" spans="1:4" hidden="1" x14ac:dyDescent="0.25">
      <c r="A13624" t="s">
        <v>718</v>
      </c>
      <c r="B13624" t="s">
        <v>73</v>
      </c>
      <c r="C13624" s="2">
        <f>HYPERLINK("https://sao.dolgi.msk.ru/account/1404217606/", 1404217606)</f>
        <v>1404217606</v>
      </c>
      <c r="D13624">
        <v>0</v>
      </c>
    </row>
    <row r="13625" spans="1:4" hidden="1" x14ac:dyDescent="0.25">
      <c r="A13625" t="s">
        <v>718</v>
      </c>
      <c r="B13625" t="s">
        <v>74</v>
      </c>
      <c r="C13625" s="2">
        <f>HYPERLINK("https://sao.dolgi.msk.ru/account/1404217999/", 1404217999)</f>
        <v>1404217999</v>
      </c>
      <c r="D13625">
        <v>-6684.75</v>
      </c>
    </row>
    <row r="13626" spans="1:4" hidden="1" x14ac:dyDescent="0.25">
      <c r="A13626" t="s">
        <v>718</v>
      </c>
      <c r="B13626" t="s">
        <v>75</v>
      </c>
      <c r="C13626" s="2">
        <f>HYPERLINK("https://sao.dolgi.msk.ru/account/1404217737/", 1404217737)</f>
        <v>1404217737</v>
      </c>
      <c r="D13626">
        <v>-4867.75</v>
      </c>
    </row>
    <row r="13627" spans="1:4" hidden="1" x14ac:dyDescent="0.25">
      <c r="A13627" t="s">
        <v>718</v>
      </c>
      <c r="B13627" t="s">
        <v>76</v>
      </c>
      <c r="C13627" s="2">
        <f>HYPERLINK("https://sao.dolgi.msk.ru/account/1404216574/", 1404216574)</f>
        <v>1404216574</v>
      </c>
      <c r="D13627">
        <v>0</v>
      </c>
    </row>
    <row r="13628" spans="1:4" hidden="1" x14ac:dyDescent="0.25">
      <c r="A13628" t="s">
        <v>718</v>
      </c>
      <c r="B13628" t="s">
        <v>77</v>
      </c>
      <c r="C13628" s="2">
        <f>HYPERLINK("https://sao.dolgi.msk.ru/account/1404217956/", 1404217956)</f>
        <v>1404217956</v>
      </c>
      <c r="D13628">
        <v>0</v>
      </c>
    </row>
    <row r="13629" spans="1:4" hidden="1" x14ac:dyDescent="0.25">
      <c r="A13629" t="s">
        <v>718</v>
      </c>
      <c r="B13629" t="s">
        <v>78</v>
      </c>
      <c r="C13629" s="2">
        <f>HYPERLINK("https://sao.dolgi.msk.ru/account/1404216515/", 1404216515)</f>
        <v>1404216515</v>
      </c>
      <c r="D13629">
        <v>-9217.4699999999993</v>
      </c>
    </row>
    <row r="13630" spans="1:4" hidden="1" x14ac:dyDescent="0.25">
      <c r="A13630" t="s">
        <v>718</v>
      </c>
      <c r="B13630" t="s">
        <v>79</v>
      </c>
      <c r="C13630" s="2">
        <f>HYPERLINK("https://sao.dolgi.msk.ru/account/1404217817/", 1404217817)</f>
        <v>1404217817</v>
      </c>
      <c r="D13630">
        <v>-12175.83</v>
      </c>
    </row>
    <row r="13631" spans="1:4" hidden="1" x14ac:dyDescent="0.25">
      <c r="A13631" t="s">
        <v>718</v>
      </c>
      <c r="B13631" t="s">
        <v>80</v>
      </c>
      <c r="C13631" s="2">
        <f>HYPERLINK("https://sao.dolgi.msk.ru/account/1404216566/", 1404216566)</f>
        <v>1404216566</v>
      </c>
      <c r="D13631">
        <v>-9017.0300000000007</v>
      </c>
    </row>
    <row r="13632" spans="1:4" hidden="1" x14ac:dyDescent="0.25">
      <c r="A13632" t="s">
        <v>718</v>
      </c>
      <c r="B13632" t="s">
        <v>81</v>
      </c>
      <c r="C13632" s="2">
        <f>HYPERLINK("https://sao.dolgi.msk.ru/account/1404216128/", 1404216128)</f>
        <v>1404216128</v>
      </c>
      <c r="D13632">
        <v>0</v>
      </c>
    </row>
    <row r="13633" spans="1:4" x14ac:dyDescent="0.25">
      <c r="A13633" t="s">
        <v>718</v>
      </c>
      <c r="B13633" t="s">
        <v>82</v>
      </c>
      <c r="C13633" s="2">
        <f>HYPERLINK("https://sao.dolgi.msk.ru/account/1404215811/", 1404215811)</f>
        <v>1404215811</v>
      </c>
      <c r="D13633">
        <v>15092.29</v>
      </c>
    </row>
    <row r="13634" spans="1:4" hidden="1" x14ac:dyDescent="0.25">
      <c r="A13634" t="s">
        <v>718</v>
      </c>
      <c r="B13634" t="s">
        <v>83</v>
      </c>
      <c r="C13634" s="2">
        <f>HYPERLINK("https://sao.dolgi.msk.ru/account/1404218289/", 1404218289)</f>
        <v>1404218289</v>
      </c>
      <c r="D13634">
        <v>0</v>
      </c>
    </row>
    <row r="13635" spans="1:4" hidden="1" x14ac:dyDescent="0.25">
      <c r="A13635" t="s">
        <v>718</v>
      </c>
      <c r="B13635" t="s">
        <v>84</v>
      </c>
      <c r="C13635" s="2">
        <f>HYPERLINK("https://sao.dolgi.msk.ru/account/1404218182/", 1404218182)</f>
        <v>1404218182</v>
      </c>
      <c r="D13635">
        <v>-4481.83</v>
      </c>
    </row>
    <row r="13636" spans="1:4" hidden="1" x14ac:dyDescent="0.25">
      <c r="A13636" t="s">
        <v>718</v>
      </c>
      <c r="B13636" t="s">
        <v>85</v>
      </c>
      <c r="C13636" s="2">
        <f>HYPERLINK("https://sao.dolgi.msk.ru/account/1404217585/", 1404217585)</f>
        <v>1404217585</v>
      </c>
      <c r="D13636">
        <v>0</v>
      </c>
    </row>
    <row r="13637" spans="1:4" hidden="1" x14ac:dyDescent="0.25">
      <c r="A13637" t="s">
        <v>718</v>
      </c>
      <c r="B13637" t="s">
        <v>86</v>
      </c>
      <c r="C13637" s="2">
        <f>HYPERLINK("https://sao.dolgi.msk.ru/account/1404217614/", 1404217614)</f>
        <v>1404217614</v>
      </c>
      <c r="D13637">
        <v>-9214.2199999999993</v>
      </c>
    </row>
    <row r="13638" spans="1:4" hidden="1" x14ac:dyDescent="0.25">
      <c r="A13638" t="s">
        <v>718</v>
      </c>
      <c r="B13638" t="s">
        <v>87</v>
      </c>
      <c r="C13638" s="2">
        <f>HYPERLINK("https://sao.dolgi.msk.ru/account/1404215635/", 1404215635)</f>
        <v>1404215635</v>
      </c>
      <c r="D13638">
        <v>-17888.93</v>
      </c>
    </row>
    <row r="13639" spans="1:4" hidden="1" x14ac:dyDescent="0.25">
      <c r="A13639" t="s">
        <v>718</v>
      </c>
      <c r="B13639" t="s">
        <v>88</v>
      </c>
      <c r="C13639" s="2">
        <f>HYPERLINK("https://sao.dolgi.msk.ru/account/1404216945/", 1404216945)</f>
        <v>1404216945</v>
      </c>
      <c r="D13639">
        <v>-6410.86</v>
      </c>
    </row>
    <row r="13640" spans="1:4" hidden="1" x14ac:dyDescent="0.25">
      <c r="A13640" t="s">
        <v>718</v>
      </c>
      <c r="B13640" t="s">
        <v>89</v>
      </c>
      <c r="C13640" s="2">
        <f>HYPERLINK("https://sao.dolgi.msk.ru/account/1404216005/", 1404216005)</f>
        <v>1404216005</v>
      </c>
      <c r="D13640">
        <v>0</v>
      </c>
    </row>
    <row r="13641" spans="1:4" hidden="1" x14ac:dyDescent="0.25">
      <c r="A13641" t="s">
        <v>718</v>
      </c>
      <c r="B13641" t="s">
        <v>90</v>
      </c>
      <c r="C13641" s="2">
        <f>HYPERLINK("https://sao.dolgi.msk.ru/account/1404215555/", 1404215555)</f>
        <v>1404215555</v>
      </c>
      <c r="D13641">
        <v>-4522.3900000000003</v>
      </c>
    </row>
    <row r="13642" spans="1:4" hidden="1" x14ac:dyDescent="0.25">
      <c r="A13642" t="s">
        <v>718</v>
      </c>
      <c r="B13642" t="s">
        <v>91</v>
      </c>
      <c r="C13642" s="2">
        <f>HYPERLINK("https://sao.dolgi.msk.ru/account/1404216494/", 1404216494)</f>
        <v>1404216494</v>
      </c>
      <c r="D13642">
        <v>-9512.51</v>
      </c>
    </row>
    <row r="13643" spans="1:4" hidden="1" x14ac:dyDescent="0.25">
      <c r="A13643" t="s">
        <v>718</v>
      </c>
      <c r="B13643" t="s">
        <v>92</v>
      </c>
      <c r="C13643" s="2">
        <f>HYPERLINK("https://sao.dolgi.msk.ru/account/1404217542/", 1404217542)</f>
        <v>1404217542</v>
      </c>
      <c r="D13643">
        <v>-3558</v>
      </c>
    </row>
    <row r="13644" spans="1:4" hidden="1" x14ac:dyDescent="0.25">
      <c r="A13644" t="s">
        <v>718</v>
      </c>
      <c r="B13644" t="s">
        <v>93</v>
      </c>
      <c r="C13644" s="2">
        <f>HYPERLINK("https://sao.dolgi.msk.ru/account/1404215758/", 1404215758)</f>
        <v>1404215758</v>
      </c>
      <c r="D13644">
        <v>0</v>
      </c>
    </row>
    <row r="13645" spans="1:4" x14ac:dyDescent="0.25">
      <c r="A13645" t="s">
        <v>718</v>
      </c>
      <c r="B13645" t="s">
        <v>94</v>
      </c>
      <c r="C13645" s="2">
        <f>HYPERLINK("https://sao.dolgi.msk.ru/account/1404218465/", 1404218465)</f>
        <v>1404218465</v>
      </c>
      <c r="D13645">
        <v>33234.39</v>
      </c>
    </row>
    <row r="13646" spans="1:4" x14ac:dyDescent="0.25">
      <c r="A13646" t="s">
        <v>718</v>
      </c>
      <c r="B13646" t="s">
        <v>95</v>
      </c>
      <c r="C13646" s="2">
        <f>HYPERLINK("https://sao.dolgi.msk.ru/account/1404217892/", 1404217892)</f>
        <v>1404217892</v>
      </c>
      <c r="D13646">
        <v>5048.1499999999996</v>
      </c>
    </row>
    <row r="13647" spans="1:4" hidden="1" x14ac:dyDescent="0.25">
      <c r="A13647" t="s">
        <v>718</v>
      </c>
      <c r="B13647" t="s">
        <v>96</v>
      </c>
      <c r="C13647" s="2">
        <f>HYPERLINK("https://sao.dolgi.msk.ru/account/1404216152/", 1404216152)</f>
        <v>1404216152</v>
      </c>
      <c r="D13647">
        <v>0</v>
      </c>
    </row>
    <row r="13648" spans="1:4" hidden="1" x14ac:dyDescent="0.25">
      <c r="A13648" t="s">
        <v>718</v>
      </c>
      <c r="B13648" t="s">
        <v>97</v>
      </c>
      <c r="C13648" s="2">
        <f>HYPERLINK("https://sao.dolgi.msk.ru/account/1404217198/", 1404217198)</f>
        <v>1404217198</v>
      </c>
      <c r="D13648">
        <v>-10493.05</v>
      </c>
    </row>
    <row r="13649" spans="1:4" hidden="1" x14ac:dyDescent="0.25">
      <c r="A13649" t="s">
        <v>718</v>
      </c>
      <c r="B13649" t="s">
        <v>98</v>
      </c>
      <c r="C13649" s="2">
        <f>HYPERLINK("https://sao.dolgi.msk.ru/account/1404217833/", 1404217833)</f>
        <v>1404217833</v>
      </c>
      <c r="D13649">
        <v>0</v>
      </c>
    </row>
    <row r="13650" spans="1:4" hidden="1" x14ac:dyDescent="0.25">
      <c r="A13650" t="s">
        <v>718</v>
      </c>
      <c r="B13650" t="s">
        <v>99</v>
      </c>
      <c r="C13650" s="2">
        <f>HYPERLINK("https://sao.dolgi.msk.ru/account/1404217921/", 1404217921)</f>
        <v>1404217921</v>
      </c>
      <c r="D13650">
        <v>-3253.11</v>
      </c>
    </row>
    <row r="13651" spans="1:4" hidden="1" x14ac:dyDescent="0.25">
      <c r="A13651" t="s">
        <v>718</v>
      </c>
      <c r="B13651" t="s">
        <v>100</v>
      </c>
      <c r="C13651" s="2">
        <f>HYPERLINK("https://sao.dolgi.msk.ru/account/1404218414/", 1404218414)</f>
        <v>1404218414</v>
      </c>
      <c r="D13651">
        <v>-3507.73</v>
      </c>
    </row>
    <row r="13652" spans="1:4" hidden="1" x14ac:dyDescent="0.25">
      <c r="A13652" t="s">
        <v>718</v>
      </c>
      <c r="B13652" t="s">
        <v>101</v>
      </c>
      <c r="C13652" s="2">
        <f>HYPERLINK("https://sao.dolgi.msk.ru/account/1404217446/", 1404217446)</f>
        <v>1404217446</v>
      </c>
      <c r="D13652">
        <v>-2842.59</v>
      </c>
    </row>
    <row r="13653" spans="1:4" hidden="1" x14ac:dyDescent="0.25">
      <c r="A13653" t="s">
        <v>718</v>
      </c>
      <c r="B13653" t="s">
        <v>102</v>
      </c>
      <c r="C13653" s="2">
        <f>HYPERLINK("https://sao.dolgi.msk.ru/account/1404216769/", 1404216769)</f>
        <v>1404216769</v>
      </c>
      <c r="D13653">
        <v>-5102.92</v>
      </c>
    </row>
    <row r="13654" spans="1:4" hidden="1" x14ac:dyDescent="0.25">
      <c r="A13654" t="s">
        <v>718</v>
      </c>
      <c r="B13654" t="s">
        <v>103</v>
      </c>
      <c r="C13654" s="2">
        <f>HYPERLINK("https://sao.dolgi.msk.ru/account/1404215774/", 1404215774)</f>
        <v>1404215774</v>
      </c>
      <c r="D13654">
        <v>-4706.95</v>
      </c>
    </row>
    <row r="13655" spans="1:4" hidden="1" x14ac:dyDescent="0.25">
      <c r="A13655" t="s">
        <v>718</v>
      </c>
      <c r="B13655" t="s">
        <v>104</v>
      </c>
      <c r="C13655" s="2">
        <f>HYPERLINK("https://sao.dolgi.msk.ru/account/1404217729/", 1404217729)</f>
        <v>1404217729</v>
      </c>
      <c r="D13655">
        <v>-7433.25</v>
      </c>
    </row>
    <row r="13656" spans="1:4" hidden="1" x14ac:dyDescent="0.25">
      <c r="A13656" t="s">
        <v>718</v>
      </c>
      <c r="B13656" t="s">
        <v>105</v>
      </c>
      <c r="C13656" s="2">
        <f>HYPERLINK("https://sao.dolgi.msk.ru/account/1404217526/", 1404217526)</f>
        <v>1404217526</v>
      </c>
      <c r="D13656">
        <v>-9976.7900000000009</v>
      </c>
    </row>
    <row r="13657" spans="1:4" hidden="1" x14ac:dyDescent="0.25">
      <c r="A13657" t="s">
        <v>718</v>
      </c>
      <c r="B13657" t="s">
        <v>106</v>
      </c>
      <c r="C13657" s="2">
        <f>HYPERLINK("https://sao.dolgi.msk.ru/account/1404217753/", 1404217753)</f>
        <v>1404217753</v>
      </c>
      <c r="D13657">
        <v>0</v>
      </c>
    </row>
    <row r="13658" spans="1:4" hidden="1" x14ac:dyDescent="0.25">
      <c r="A13658" t="s">
        <v>718</v>
      </c>
      <c r="B13658" t="s">
        <v>107</v>
      </c>
      <c r="C13658" s="2">
        <f>HYPERLINK("https://sao.dolgi.msk.ru/account/1404216259/", 1404216259)</f>
        <v>1404216259</v>
      </c>
      <c r="D13658">
        <v>-5357.41</v>
      </c>
    </row>
    <row r="13659" spans="1:4" hidden="1" x14ac:dyDescent="0.25">
      <c r="A13659" t="s">
        <v>718</v>
      </c>
      <c r="B13659" t="s">
        <v>108</v>
      </c>
      <c r="C13659" s="2">
        <f>HYPERLINK("https://sao.dolgi.msk.ru/account/1404217059/", 1404217059)</f>
        <v>1404217059</v>
      </c>
      <c r="D13659">
        <v>-5061.17</v>
      </c>
    </row>
    <row r="13660" spans="1:4" hidden="1" x14ac:dyDescent="0.25">
      <c r="A13660" t="s">
        <v>718</v>
      </c>
      <c r="B13660" t="s">
        <v>109</v>
      </c>
      <c r="C13660" s="2">
        <f>HYPERLINK("https://sao.dolgi.msk.ru/account/1404217577/", 1404217577)</f>
        <v>1404217577</v>
      </c>
      <c r="D13660">
        <v>0</v>
      </c>
    </row>
    <row r="13661" spans="1:4" hidden="1" x14ac:dyDescent="0.25">
      <c r="A13661" t="s">
        <v>718</v>
      </c>
      <c r="B13661" t="s">
        <v>110</v>
      </c>
      <c r="C13661" s="2">
        <f>HYPERLINK("https://sao.dolgi.msk.ru/account/1404215715/", 1404215715)</f>
        <v>1404215715</v>
      </c>
      <c r="D13661">
        <v>-11777.58</v>
      </c>
    </row>
    <row r="13662" spans="1:4" hidden="1" x14ac:dyDescent="0.25">
      <c r="A13662" t="s">
        <v>718</v>
      </c>
      <c r="B13662" t="s">
        <v>111</v>
      </c>
      <c r="C13662" s="2">
        <f>HYPERLINK("https://sao.dolgi.msk.ru/account/1404217067/", 1404217067)</f>
        <v>1404217067</v>
      </c>
      <c r="D13662">
        <v>-5237.93</v>
      </c>
    </row>
    <row r="13663" spans="1:4" x14ac:dyDescent="0.25">
      <c r="A13663" t="s">
        <v>718</v>
      </c>
      <c r="B13663" t="s">
        <v>112</v>
      </c>
      <c r="C13663" s="2">
        <f>HYPERLINK("https://sao.dolgi.msk.ru/account/1404218502/", 1404218502)</f>
        <v>1404218502</v>
      </c>
      <c r="D13663">
        <v>1040.8499999999999</v>
      </c>
    </row>
    <row r="13664" spans="1:4" x14ac:dyDescent="0.25">
      <c r="A13664" t="s">
        <v>718</v>
      </c>
      <c r="B13664" t="s">
        <v>113</v>
      </c>
      <c r="C13664" s="2">
        <f>HYPERLINK("https://sao.dolgi.msk.ru/account/1404217788/", 1404217788)</f>
        <v>1404217788</v>
      </c>
      <c r="D13664">
        <v>7781.05</v>
      </c>
    </row>
    <row r="13665" spans="1:4" hidden="1" x14ac:dyDescent="0.25">
      <c r="A13665" t="s">
        <v>718</v>
      </c>
      <c r="B13665" t="s">
        <v>114</v>
      </c>
      <c r="C13665" s="2">
        <f>HYPERLINK("https://sao.dolgi.msk.ru/account/1404218086/", 1404218086)</f>
        <v>1404218086</v>
      </c>
      <c r="D13665">
        <v>0</v>
      </c>
    </row>
    <row r="13666" spans="1:4" hidden="1" x14ac:dyDescent="0.25">
      <c r="A13666" t="s">
        <v>718</v>
      </c>
      <c r="B13666" t="s">
        <v>115</v>
      </c>
      <c r="C13666" s="2">
        <f>HYPERLINK("https://sao.dolgi.msk.ru/account/1404218481/", 1404218481)</f>
        <v>1404218481</v>
      </c>
      <c r="D13666">
        <v>-4533.0600000000004</v>
      </c>
    </row>
    <row r="13667" spans="1:4" x14ac:dyDescent="0.25">
      <c r="A13667" t="s">
        <v>718</v>
      </c>
      <c r="B13667" t="s">
        <v>116</v>
      </c>
      <c r="C13667" s="2">
        <f>HYPERLINK("https://sao.dolgi.msk.ru/account/1404217315/", 1404217315)</f>
        <v>1404217315</v>
      </c>
      <c r="D13667">
        <v>7640.9</v>
      </c>
    </row>
    <row r="13668" spans="1:4" hidden="1" x14ac:dyDescent="0.25">
      <c r="A13668" t="s">
        <v>718</v>
      </c>
      <c r="B13668" t="s">
        <v>117</v>
      </c>
      <c r="C13668" s="2">
        <f>HYPERLINK("https://sao.dolgi.msk.ru/account/1404216849/", 1404216849)</f>
        <v>1404216849</v>
      </c>
      <c r="D13668">
        <v>-5251.42</v>
      </c>
    </row>
    <row r="13669" spans="1:4" hidden="1" x14ac:dyDescent="0.25">
      <c r="A13669" t="s">
        <v>718</v>
      </c>
      <c r="B13669" t="s">
        <v>118</v>
      </c>
      <c r="C13669" s="2">
        <f>HYPERLINK("https://sao.dolgi.msk.ru/account/1404218078/", 1404218078)</f>
        <v>1404218078</v>
      </c>
      <c r="D13669">
        <v>0</v>
      </c>
    </row>
    <row r="13670" spans="1:4" hidden="1" x14ac:dyDescent="0.25">
      <c r="A13670" t="s">
        <v>718</v>
      </c>
      <c r="B13670" t="s">
        <v>119</v>
      </c>
      <c r="C13670" s="2">
        <f>HYPERLINK("https://sao.dolgi.msk.ru/account/1404218342/", 1404218342)</f>
        <v>1404218342</v>
      </c>
      <c r="D13670">
        <v>-7481.24</v>
      </c>
    </row>
    <row r="13671" spans="1:4" x14ac:dyDescent="0.25">
      <c r="A13671" t="s">
        <v>718</v>
      </c>
      <c r="B13671" t="s">
        <v>120</v>
      </c>
      <c r="C13671" s="2">
        <f>HYPERLINK("https://sao.dolgi.msk.ru/account/1404216486/", 1404216486)</f>
        <v>1404216486</v>
      </c>
      <c r="D13671">
        <v>3158.34</v>
      </c>
    </row>
    <row r="13672" spans="1:4" hidden="1" x14ac:dyDescent="0.25">
      <c r="A13672" t="s">
        <v>718</v>
      </c>
      <c r="B13672" t="s">
        <v>121</v>
      </c>
      <c r="C13672" s="2">
        <f>HYPERLINK("https://sao.dolgi.msk.ru/account/1404216304/", 1404216304)</f>
        <v>1404216304</v>
      </c>
      <c r="D13672">
        <v>0</v>
      </c>
    </row>
    <row r="13673" spans="1:4" hidden="1" x14ac:dyDescent="0.25">
      <c r="A13673" t="s">
        <v>718</v>
      </c>
      <c r="B13673" t="s">
        <v>122</v>
      </c>
      <c r="C13673" s="2">
        <f>HYPERLINK("https://sao.dolgi.msk.ru/account/1404218043/", 1404218043)</f>
        <v>1404218043</v>
      </c>
      <c r="D13673">
        <v>-5717.81</v>
      </c>
    </row>
    <row r="13674" spans="1:4" hidden="1" x14ac:dyDescent="0.25">
      <c r="A13674" t="s">
        <v>718</v>
      </c>
      <c r="B13674" t="s">
        <v>123</v>
      </c>
      <c r="C13674" s="2">
        <f>HYPERLINK("https://sao.dolgi.msk.ru/account/1404217884/", 1404217884)</f>
        <v>1404217884</v>
      </c>
      <c r="D13674">
        <v>-4238.01</v>
      </c>
    </row>
    <row r="13675" spans="1:4" hidden="1" x14ac:dyDescent="0.25">
      <c r="A13675" t="s">
        <v>718</v>
      </c>
      <c r="B13675" t="s">
        <v>124</v>
      </c>
      <c r="C13675" s="2">
        <f>HYPERLINK("https://sao.dolgi.msk.ru/account/1404215993/", 1404215993)</f>
        <v>1404215993</v>
      </c>
      <c r="D13675">
        <v>-5479.21</v>
      </c>
    </row>
    <row r="13676" spans="1:4" hidden="1" x14ac:dyDescent="0.25">
      <c r="A13676" t="s">
        <v>718</v>
      </c>
      <c r="B13676" t="s">
        <v>125</v>
      </c>
      <c r="C13676" s="2">
        <f>HYPERLINK("https://sao.dolgi.msk.ru/account/1404215926/", 1404215926)</f>
        <v>1404215926</v>
      </c>
      <c r="D13676">
        <v>-112.57</v>
      </c>
    </row>
    <row r="13677" spans="1:4" hidden="1" x14ac:dyDescent="0.25">
      <c r="A13677" t="s">
        <v>718</v>
      </c>
      <c r="B13677" t="s">
        <v>126</v>
      </c>
      <c r="C13677" s="2">
        <f>HYPERLINK("https://sao.dolgi.msk.ru/account/1404217075/", 1404217075)</f>
        <v>1404217075</v>
      </c>
      <c r="D13677">
        <v>-11691.17</v>
      </c>
    </row>
    <row r="13678" spans="1:4" hidden="1" x14ac:dyDescent="0.25">
      <c r="A13678" t="s">
        <v>718</v>
      </c>
      <c r="B13678" t="s">
        <v>127</v>
      </c>
      <c r="C13678" s="2">
        <f>HYPERLINK("https://sao.dolgi.msk.ru/account/1404217155/", 1404217155)</f>
        <v>1404217155</v>
      </c>
      <c r="D13678">
        <v>0</v>
      </c>
    </row>
    <row r="13679" spans="1:4" hidden="1" x14ac:dyDescent="0.25">
      <c r="A13679" t="s">
        <v>718</v>
      </c>
      <c r="B13679" t="s">
        <v>128</v>
      </c>
      <c r="C13679" s="2">
        <f>HYPERLINK("https://sao.dolgi.msk.ru/account/1404216857/", 1404216857)</f>
        <v>1404216857</v>
      </c>
      <c r="D13679">
        <v>0</v>
      </c>
    </row>
    <row r="13680" spans="1:4" hidden="1" x14ac:dyDescent="0.25">
      <c r="A13680" t="s">
        <v>718</v>
      </c>
      <c r="B13680" t="s">
        <v>129</v>
      </c>
      <c r="C13680" s="2">
        <f>HYPERLINK("https://sao.dolgi.msk.ru/account/1404216291/", 1404216291)</f>
        <v>1404216291</v>
      </c>
      <c r="D13680">
        <v>-2596.98</v>
      </c>
    </row>
    <row r="13681" spans="1:4" hidden="1" x14ac:dyDescent="0.25">
      <c r="A13681" t="s">
        <v>718</v>
      </c>
      <c r="B13681" t="s">
        <v>130</v>
      </c>
      <c r="C13681" s="2">
        <f>HYPERLINK("https://sao.dolgi.msk.ru/account/1404216398/", 1404216398)</f>
        <v>1404216398</v>
      </c>
      <c r="D13681">
        <v>-3574.27</v>
      </c>
    </row>
    <row r="13682" spans="1:4" x14ac:dyDescent="0.25">
      <c r="A13682" t="s">
        <v>718</v>
      </c>
      <c r="B13682" t="s">
        <v>131</v>
      </c>
      <c r="C13682" s="2">
        <f>HYPERLINK("https://sao.dolgi.msk.ru/account/1404216427/", 1404216427)</f>
        <v>1404216427</v>
      </c>
      <c r="D13682">
        <v>20611.23</v>
      </c>
    </row>
    <row r="13683" spans="1:4" hidden="1" x14ac:dyDescent="0.25">
      <c r="A13683" t="s">
        <v>718</v>
      </c>
      <c r="B13683" t="s">
        <v>132</v>
      </c>
      <c r="C13683" s="2">
        <f>HYPERLINK("https://sao.dolgi.msk.ru/account/1404216048/", 1404216048)</f>
        <v>1404216048</v>
      </c>
      <c r="D13683">
        <v>-6339.59</v>
      </c>
    </row>
    <row r="13684" spans="1:4" hidden="1" x14ac:dyDescent="0.25">
      <c r="A13684" t="s">
        <v>718</v>
      </c>
      <c r="B13684" t="s">
        <v>133</v>
      </c>
      <c r="C13684" s="2">
        <f>HYPERLINK("https://sao.dolgi.msk.ru/account/1404215694/", 1404215694)</f>
        <v>1404215694</v>
      </c>
      <c r="D13684">
        <v>0</v>
      </c>
    </row>
    <row r="13685" spans="1:4" hidden="1" x14ac:dyDescent="0.25">
      <c r="A13685" t="s">
        <v>718</v>
      </c>
      <c r="B13685" t="s">
        <v>134</v>
      </c>
      <c r="C13685" s="2">
        <f>HYPERLINK("https://sao.dolgi.msk.ru/account/1404216099/", 1404216099)</f>
        <v>1404216099</v>
      </c>
      <c r="D13685">
        <v>-5514.4</v>
      </c>
    </row>
    <row r="13686" spans="1:4" hidden="1" x14ac:dyDescent="0.25">
      <c r="A13686" t="s">
        <v>718</v>
      </c>
      <c r="B13686" t="s">
        <v>135</v>
      </c>
      <c r="C13686" s="2">
        <f>HYPERLINK("https://sao.dolgi.msk.ru/account/1404218406/", 1404218406)</f>
        <v>1404218406</v>
      </c>
      <c r="D13686">
        <v>-7870.06</v>
      </c>
    </row>
    <row r="13687" spans="1:4" hidden="1" x14ac:dyDescent="0.25">
      <c r="A13687" t="s">
        <v>718</v>
      </c>
      <c r="B13687" t="s">
        <v>136</v>
      </c>
      <c r="C13687" s="2">
        <f>HYPERLINK("https://sao.dolgi.msk.ru/account/1404217331/", 1404217331)</f>
        <v>1404217331</v>
      </c>
      <c r="D13687">
        <v>-3644.17</v>
      </c>
    </row>
    <row r="13688" spans="1:4" hidden="1" x14ac:dyDescent="0.25">
      <c r="A13688" t="s">
        <v>718</v>
      </c>
      <c r="B13688" t="s">
        <v>136</v>
      </c>
      <c r="C13688" s="2">
        <f>HYPERLINK("https://sao.dolgi.msk.ru/account/1404218473/", 1404218473)</f>
        <v>1404218473</v>
      </c>
      <c r="D13688">
        <v>0</v>
      </c>
    </row>
    <row r="13689" spans="1:4" hidden="1" x14ac:dyDescent="0.25">
      <c r="A13689" t="s">
        <v>718</v>
      </c>
      <c r="B13689" t="s">
        <v>137</v>
      </c>
      <c r="C13689" s="2">
        <f>HYPERLINK("https://sao.dolgi.msk.ru/account/1404215782/", 1404215782)</f>
        <v>1404215782</v>
      </c>
      <c r="D13689">
        <v>0</v>
      </c>
    </row>
    <row r="13690" spans="1:4" hidden="1" x14ac:dyDescent="0.25">
      <c r="A13690" t="s">
        <v>718</v>
      </c>
      <c r="B13690" t="s">
        <v>138</v>
      </c>
      <c r="C13690" s="2">
        <f>HYPERLINK("https://sao.dolgi.msk.ru/account/1404216224/", 1404216224)</f>
        <v>1404216224</v>
      </c>
      <c r="D13690">
        <v>-3160.6</v>
      </c>
    </row>
    <row r="13691" spans="1:4" hidden="1" x14ac:dyDescent="0.25">
      <c r="A13691" t="s">
        <v>718</v>
      </c>
      <c r="B13691" t="s">
        <v>139</v>
      </c>
      <c r="C13691" s="2">
        <f>HYPERLINK("https://sao.dolgi.msk.ru/account/1404217454/", 1404217454)</f>
        <v>1404217454</v>
      </c>
      <c r="D13691">
        <v>-4033.86</v>
      </c>
    </row>
    <row r="13692" spans="1:4" hidden="1" x14ac:dyDescent="0.25">
      <c r="A13692" t="s">
        <v>718</v>
      </c>
      <c r="B13692" t="s">
        <v>140</v>
      </c>
      <c r="C13692" s="2">
        <f>HYPERLINK("https://sao.dolgi.msk.ru/account/1404215678/", 1404215678)</f>
        <v>1404215678</v>
      </c>
      <c r="D13692">
        <v>-6823.37</v>
      </c>
    </row>
    <row r="13693" spans="1:4" hidden="1" x14ac:dyDescent="0.25">
      <c r="A13693" t="s">
        <v>718</v>
      </c>
      <c r="B13693" t="s">
        <v>141</v>
      </c>
      <c r="C13693" s="2">
        <f>HYPERLINK("https://sao.dolgi.msk.ru/account/1404217235/", 1404217235)</f>
        <v>1404217235</v>
      </c>
      <c r="D13693">
        <v>-4520.96</v>
      </c>
    </row>
    <row r="13694" spans="1:4" hidden="1" x14ac:dyDescent="0.25">
      <c r="A13694" t="s">
        <v>718</v>
      </c>
      <c r="B13694" t="s">
        <v>142</v>
      </c>
      <c r="C13694" s="2">
        <f>HYPERLINK("https://sao.dolgi.msk.ru/account/1404216451/", 1404216451)</f>
        <v>1404216451</v>
      </c>
      <c r="D13694">
        <v>-4696.0200000000004</v>
      </c>
    </row>
    <row r="13695" spans="1:4" hidden="1" x14ac:dyDescent="0.25">
      <c r="A13695" t="s">
        <v>718</v>
      </c>
      <c r="B13695" t="s">
        <v>143</v>
      </c>
      <c r="C13695" s="2">
        <f>HYPERLINK("https://sao.dolgi.msk.ru/account/1404218027/", 1404218027)</f>
        <v>1404218027</v>
      </c>
      <c r="D13695">
        <v>0</v>
      </c>
    </row>
    <row r="13696" spans="1:4" hidden="1" x14ac:dyDescent="0.25">
      <c r="A13696" t="s">
        <v>718</v>
      </c>
      <c r="B13696" t="s">
        <v>144</v>
      </c>
      <c r="C13696" s="2">
        <f>HYPERLINK("https://sao.dolgi.msk.ru/account/1404215838/", 1404215838)</f>
        <v>1404215838</v>
      </c>
      <c r="D13696">
        <v>-4979.63</v>
      </c>
    </row>
    <row r="13697" spans="1:4" x14ac:dyDescent="0.25">
      <c r="A13697" t="s">
        <v>718</v>
      </c>
      <c r="B13697" t="s">
        <v>145</v>
      </c>
      <c r="C13697" s="2">
        <f>HYPERLINK("https://sao.dolgi.msk.ru/account/1404216582/", 1404216582)</f>
        <v>1404216582</v>
      </c>
      <c r="D13697">
        <v>23536.5</v>
      </c>
    </row>
    <row r="13698" spans="1:4" hidden="1" x14ac:dyDescent="0.25">
      <c r="A13698" t="s">
        <v>718</v>
      </c>
      <c r="B13698" t="s">
        <v>146</v>
      </c>
      <c r="C13698" s="2">
        <f>HYPERLINK("https://sao.dolgi.msk.ru/account/1404216654/", 1404216654)</f>
        <v>1404216654</v>
      </c>
      <c r="D13698">
        <v>-4783.43</v>
      </c>
    </row>
    <row r="13699" spans="1:4" hidden="1" x14ac:dyDescent="0.25">
      <c r="A13699" t="s">
        <v>718</v>
      </c>
      <c r="B13699" t="s">
        <v>147</v>
      </c>
      <c r="C13699" s="2">
        <f>HYPERLINK("https://sao.dolgi.msk.ru/account/1404217948/", 1404217948)</f>
        <v>1404217948</v>
      </c>
      <c r="D13699">
        <v>-8095.31</v>
      </c>
    </row>
    <row r="13700" spans="1:4" hidden="1" x14ac:dyDescent="0.25">
      <c r="A13700" t="s">
        <v>718</v>
      </c>
      <c r="B13700" t="s">
        <v>148</v>
      </c>
      <c r="C13700" s="2">
        <f>HYPERLINK("https://sao.dolgi.msk.ru/account/1404217489/", 1404217489)</f>
        <v>1404217489</v>
      </c>
      <c r="D13700">
        <v>-2784.31</v>
      </c>
    </row>
    <row r="13701" spans="1:4" x14ac:dyDescent="0.25">
      <c r="A13701" t="s">
        <v>718</v>
      </c>
      <c r="B13701" t="s">
        <v>149</v>
      </c>
      <c r="C13701" s="2">
        <f>HYPERLINK("https://sao.dolgi.msk.ru/account/1404215731/", 1404215731)</f>
        <v>1404215731</v>
      </c>
      <c r="D13701">
        <v>14789.06</v>
      </c>
    </row>
    <row r="13702" spans="1:4" hidden="1" x14ac:dyDescent="0.25">
      <c r="A13702" t="s">
        <v>718</v>
      </c>
      <c r="B13702" t="s">
        <v>150</v>
      </c>
      <c r="C13702" s="2">
        <f>HYPERLINK("https://sao.dolgi.msk.ru/account/1404218035/", 1404218035)</f>
        <v>1404218035</v>
      </c>
      <c r="D13702">
        <v>-4290.08</v>
      </c>
    </row>
    <row r="13703" spans="1:4" hidden="1" x14ac:dyDescent="0.25">
      <c r="A13703" t="s">
        <v>718</v>
      </c>
      <c r="B13703" t="s">
        <v>151</v>
      </c>
      <c r="C13703" s="2">
        <f>HYPERLINK("https://sao.dolgi.msk.ru/account/1404216136/", 1404216136)</f>
        <v>1404216136</v>
      </c>
      <c r="D13703">
        <v>0</v>
      </c>
    </row>
    <row r="13704" spans="1:4" hidden="1" x14ac:dyDescent="0.25">
      <c r="A13704" t="s">
        <v>718</v>
      </c>
      <c r="B13704" t="s">
        <v>152</v>
      </c>
      <c r="C13704" s="2">
        <f>HYPERLINK("https://sao.dolgi.msk.ru/account/1404215969/", 1404215969)</f>
        <v>1404215969</v>
      </c>
      <c r="D13704">
        <v>0</v>
      </c>
    </row>
    <row r="13705" spans="1:4" hidden="1" x14ac:dyDescent="0.25">
      <c r="A13705" t="s">
        <v>718</v>
      </c>
      <c r="B13705" t="s">
        <v>153</v>
      </c>
      <c r="C13705" s="2">
        <f>HYPERLINK("https://sao.dolgi.msk.ru/account/1404217518/", 1404217518)</f>
        <v>1404217518</v>
      </c>
      <c r="D13705">
        <v>-8110.38</v>
      </c>
    </row>
    <row r="13706" spans="1:4" hidden="1" x14ac:dyDescent="0.25">
      <c r="A13706" t="s">
        <v>718</v>
      </c>
      <c r="B13706" t="s">
        <v>154</v>
      </c>
      <c r="C13706" s="2">
        <f>HYPERLINK("https://sao.dolgi.msk.ru/account/1404217809/", 1404217809)</f>
        <v>1404217809</v>
      </c>
      <c r="D13706">
        <v>0</v>
      </c>
    </row>
    <row r="13707" spans="1:4" x14ac:dyDescent="0.25">
      <c r="A13707" t="s">
        <v>718</v>
      </c>
      <c r="B13707" t="s">
        <v>155</v>
      </c>
      <c r="C13707" s="2">
        <f>HYPERLINK("https://sao.dolgi.msk.ru/account/1404216814/", 1404216814)</f>
        <v>1404216814</v>
      </c>
      <c r="D13707">
        <v>5287.65</v>
      </c>
    </row>
    <row r="13708" spans="1:4" hidden="1" x14ac:dyDescent="0.25">
      <c r="A13708" t="s">
        <v>718</v>
      </c>
      <c r="B13708" t="s">
        <v>156</v>
      </c>
      <c r="C13708" s="2">
        <f>HYPERLINK("https://sao.dolgi.msk.ru/account/1404218174/", 1404218174)</f>
        <v>1404218174</v>
      </c>
      <c r="D13708">
        <v>-4596.6499999999996</v>
      </c>
    </row>
    <row r="13709" spans="1:4" x14ac:dyDescent="0.25">
      <c r="A13709" t="s">
        <v>718</v>
      </c>
      <c r="B13709" t="s">
        <v>157</v>
      </c>
      <c r="C13709" s="2">
        <f>HYPERLINK("https://sao.dolgi.msk.ru/account/1404218297/", 1404218297)</f>
        <v>1404218297</v>
      </c>
      <c r="D13709">
        <v>22923.4</v>
      </c>
    </row>
    <row r="13710" spans="1:4" hidden="1" x14ac:dyDescent="0.25">
      <c r="A13710" t="s">
        <v>718</v>
      </c>
      <c r="B13710" t="s">
        <v>158</v>
      </c>
      <c r="C13710" s="2">
        <f>HYPERLINK("https://sao.dolgi.msk.ru/account/1404216611/", 1404216611)</f>
        <v>1404216611</v>
      </c>
      <c r="D13710">
        <v>-5387.3</v>
      </c>
    </row>
    <row r="13711" spans="1:4" hidden="1" x14ac:dyDescent="0.25">
      <c r="A13711" t="s">
        <v>718</v>
      </c>
      <c r="B13711" t="s">
        <v>159</v>
      </c>
      <c r="C13711" s="2">
        <f>HYPERLINK("https://sao.dolgi.msk.ru/account/1404216988/", 1404216988)</f>
        <v>1404216988</v>
      </c>
      <c r="D13711">
        <v>-4397.43</v>
      </c>
    </row>
    <row r="13712" spans="1:4" hidden="1" x14ac:dyDescent="0.25">
      <c r="A13712" t="s">
        <v>718</v>
      </c>
      <c r="B13712" t="s">
        <v>160</v>
      </c>
      <c r="C13712" s="2">
        <f>HYPERLINK("https://sao.dolgi.msk.ru/account/1404218203/", 1404218203)</f>
        <v>1404218203</v>
      </c>
      <c r="D13712">
        <v>-7524.32</v>
      </c>
    </row>
    <row r="13713" spans="1:4" hidden="1" x14ac:dyDescent="0.25">
      <c r="A13713" t="s">
        <v>718</v>
      </c>
      <c r="B13713" t="s">
        <v>161</v>
      </c>
      <c r="C13713" s="2">
        <f>HYPERLINK("https://sao.dolgi.msk.ru/account/1404218326/", 1404218326)</f>
        <v>1404218326</v>
      </c>
      <c r="D13713">
        <v>-9798.4699999999993</v>
      </c>
    </row>
    <row r="13714" spans="1:4" hidden="1" x14ac:dyDescent="0.25">
      <c r="A13714" t="s">
        <v>718</v>
      </c>
      <c r="B13714" t="s">
        <v>162</v>
      </c>
      <c r="C13714" s="2">
        <f>HYPERLINK("https://sao.dolgi.msk.ru/account/1404217702/", 1404217702)</f>
        <v>1404217702</v>
      </c>
      <c r="D13714">
        <v>-537.9</v>
      </c>
    </row>
    <row r="13715" spans="1:4" hidden="1" x14ac:dyDescent="0.25">
      <c r="A13715" t="s">
        <v>718</v>
      </c>
      <c r="B13715" t="s">
        <v>163</v>
      </c>
      <c r="C13715" s="2">
        <f>HYPERLINK("https://sao.dolgi.msk.ru/account/1404216312/", 1404216312)</f>
        <v>1404216312</v>
      </c>
      <c r="D13715">
        <v>-3279.09</v>
      </c>
    </row>
    <row r="13716" spans="1:4" hidden="1" x14ac:dyDescent="0.25">
      <c r="A13716" t="s">
        <v>718</v>
      </c>
      <c r="B13716" t="s">
        <v>164</v>
      </c>
      <c r="C13716" s="2">
        <f>HYPERLINK("https://sao.dolgi.msk.ru/account/1404218457/", 1404218457)</f>
        <v>1404218457</v>
      </c>
      <c r="D13716">
        <v>-4134.1099999999997</v>
      </c>
    </row>
    <row r="13717" spans="1:4" x14ac:dyDescent="0.25">
      <c r="A13717" t="s">
        <v>718</v>
      </c>
      <c r="B13717" t="s">
        <v>165</v>
      </c>
      <c r="C13717" s="2">
        <f>HYPERLINK("https://sao.dolgi.msk.ru/account/1404217411/", 1404217411)</f>
        <v>1404217411</v>
      </c>
      <c r="D13717">
        <v>2939.78</v>
      </c>
    </row>
    <row r="13718" spans="1:4" hidden="1" x14ac:dyDescent="0.25">
      <c r="A13718" t="s">
        <v>718</v>
      </c>
      <c r="B13718" t="s">
        <v>166</v>
      </c>
      <c r="C13718" s="2">
        <f>HYPERLINK("https://sao.dolgi.msk.ru/account/1404218377/", 1404218377)</f>
        <v>1404218377</v>
      </c>
      <c r="D13718">
        <v>-9144.35</v>
      </c>
    </row>
    <row r="13719" spans="1:4" hidden="1" x14ac:dyDescent="0.25">
      <c r="A13719" t="s">
        <v>718</v>
      </c>
      <c r="B13719" t="s">
        <v>167</v>
      </c>
      <c r="C13719" s="2">
        <f>HYPERLINK("https://sao.dolgi.msk.ru/account/1404216873/", 1404216873)</f>
        <v>1404216873</v>
      </c>
      <c r="D13719">
        <v>-4757.58</v>
      </c>
    </row>
    <row r="13720" spans="1:4" hidden="1" x14ac:dyDescent="0.25">
      <c r="A13720" t="s">
        <v>718</v>
      </c>
      <c r="B13720" t="s">
        <v>168</v>
      </c>
      <c r="C13720" s="2">
        <f>HYPERLINK("https://sao.dolgi.msk.ru/account/1404217323/", 1404217323)</f>
        <v>1404217323</v>
      </c>
      <c r="D13720">
        <v>-7806.43</v>
      </c>
    </row>
    <row r="13721" spans="1:4" hidden="1" x14ac:dyDescent="0.25">
      <c r="A13721" t="s">
        <v>718</v>
      </c>
      <c r="B13721" t="s">
        <v>169</v>
      </c>
      <c r="C13721" s="2">
        <f>HYPERLINK("https://sao.dolgi.msk.ru/account/1404216996/", 1404216996)</f>
        <v>1404216996</v>
      </c>
      <c r="D13721">
        <v>-5737.61</v>
      </c>
    </row>
    <row r="13722" spans="1:4" hidden="1" x14ac:dyDescent="0.25">
      <c r="A13722" t="s">
        <v>718</v>
      </c>
      <c r="B13722" t="s">
        <v>170</v>
      </c>
      <c r="C13722" s="2">
        <f>HYPERLINK("https://sao.dolgi.msk.ru/account/1404215643/", 1404215643)</f>
        <v>1404215643</v>
      </c>
      <c r="D13722">
        <v>0</v>
      </c>
    </row>
    <row r="13723" spans="1:4" x14ac:dyDescent="0.25">
      <c r="A13723" t="s">
        <v>718</v>
      </c>
      <c r="B13723" t="s">
        <v>171</v>
      </c>
      <c r="C13723" s="2">
        <f>HYPERLINK("https://sao.dolgi.msk.ru/account/1404215686/", 1404215686)</f>
        <v>1404215686</v>
      </c>
      <c r="D13723">
        <v>932.28</v>
      </c>
    </row>
    <row r="13724" spans="1:4" hidden="1" x14ac:dyDescent="0.25">
      <c r="A13724" t="s">
        <v>718</v>
      </c>
      <c r="B13724" t="s">
        <v>172</v>
      </c>
      <c r="C13724" s="2">
        <f>HYPERLINK("https://sao.dolgi.msk.ru/account/1404217307/", 1404217307)</f>
        <v>1404217307</v>
      </c>
      <c r="D13724">
        <v>-4643.5200000000004</v>
      </c>
    </row>
    <row r="13725" spans="1:4" hidden="1" x14ac:dyDescent="0.25">
      <c r="A13725" t="s">
        <v>718</v>
      </c>
      <c r="B13725" t="s">
        <v>173</v>
      </c>
      <c r="C13725" s="2">
        <f>HYPERLINK("https://sao.dolgi.msk.ru/account/1404215889/", 1404215889)</f>
        <v>1404215889</v>
      </c>
      <c r="D13725">
        <v>0</v>
      </c>
    </row>
    <row r="13726" spans="1:4" hidden="1" x14ac:dyDescent="0.25">
      <c r="A13726" t="s">
        <v>718</v>
      </c>
      <c r="B13726" t="s">
        <v>174</v>
      </c>
      <c r="C13726" s="2">
        <f>HYPERLINK("https://sao.dolgi.msk.ru/account/1404216064/", 1404216064)</f>
        <v>1404216064</v>
      </c>
      <c r="D13726">
        <v>-9517.4</v>
      </c>
    </row>
    <row r="13727" spans="1:4" hidden="1" x14ac:dyDescent="0.25">
      <c r="A13727" t="s">
        <v>718</v>
      </c>
      <c r="B13727" t="s">
        <v>175</v>
      </c>
      <c r="C13727" s="2">
        <f>HYPERLINK("https://sao.dolgi.msk.ru/account/1404218254/", 1404218254)</f>
        <v>1404218254</v>
      </c>
      <c r="D13727">
        <v>-9420.77</v>
      </c>
    </row>
    <row r="13728" spans="1:4" x14ac:dyDescent="0.25">
      <c r="A13728" t="s">
        <v>718</v>
      </c>
      <c r="B13728" t="s">
        <v>176</v>
      </c>
      <c r="C13728" s="2">
        <f>HYPERLINK("https://sao.dolgi.msk.ru/account/1404216443/", 1404216443)</f>
        <v>1404216443</v>
      </c>
      <c r="D13728">
        <v>9302.16</v>
      </c>
    </row>
    <row r="13729" spans="1:4" x14ac:dyDescent="0.25">
      <c r="A13729" t="s">
        <v>718</v>
      </c>
      <c r="B13729" t="s">
        <v>177</v>
      </c>
      <c r="C13729" s="2">
        <f>HYPERLINK("https://sao.dolgi.msk.ru/account/1404216179/", 1404216179)</f>
        <v>1404216179</v>
      </c>
      <c r="D13729">
        <v>6218.52</v>
      </c>
    </row>
    <row r="13730" spans="1:4" hidden="1" x14ac:dyDescent="0.25">
      <c r="A13730" t="s">
        <v>718</v>
      </c>
      <c r="B13730" t="s">
        <v>178</v>
      </c>
      <c r="C13730" s="2">
        <f>HYPERLINK("https://sao.dolgi.msk.ru/account/1404218238/", 1404218238)</f>
        <v>1404218238</v>
      </c>
      <c r="D13730">
        <v>-5160.5200000000004</v>
      </c>
    </row>
    <row r="13731" spans="1:4" hidden="1" x14ac:dyDescent="0.25">
      <c r="A13731" t="s">
        <v>718</v>
      </c>
      <c r="B13731" t="s">
        <v>179</v>
      </c>
      <c r="C13731" s="2">
        <f>HYPERLINK("https://sao.dolgi.msk.ru/account/1404218385/", 1404218385)</f>
        <v>1404218385</v>
      </c>
      <c r="D13731">
        <v>-2674.77</v>
      </c>
    </row>
    <row r="13732" spans="1:4" x14ac:dyDescent="0.25">
      <c r="A13732" t="s">
        <v>718</v>
      </c>
      <c r="B13732" t="s">
        <v>180</v>
      </c>
      <c r="C13732" s="2">
        <f>HYPERLINK("https://sao.dolgi.msk.ru/account/1404217876/", 1404217876)</f>
        <v>1404217876</v>
      </c>
      <c r="D13732">
        <v>5069.82</v>
      </c>
    </row>
    <row r="13733" spans="1:4" hidden="1" x14ac:dyDescent="0.25">
      <c r="A13733" t="s">
        <v>718</v>
      </c>
      <c r="B13733" t="s">
        <v>181</v>
      </c>
      <c r="C13733" s="2">
        <f>HYPERLINK("https://sao.dolgi.msk.ru/account/1404216056/", 1404216056)</f>
        <v>1404216056</v>
      </c>
      <c r="D13733">
        <v>-8784.84</v>
      </c>
    </row>
    <row r="13734" spans="1:4" hidden="1" x14ac:dyDescent="0.25">
      <c r="A13734" t="s">
        <v>718</v>
      </c>
      <c r="B13734" t="s">
        <v>182</v>
      </c>
      <c r="C13734" s="2">
        <f>HYPERLINK("https://sao.dolgi.msk.ru/account/1404218449/", 1404218449)</f>
        <v>1404218449</v>
      </c>
      <c r="D13734">
        <v>-6267.68</v>
      </c>
    </row>
    <row r="13735" spans="1:4" hidden="1" x14ac:dyDescent="0.25">
      <c r="A13735" t="s">
        <v>718</v>
      </c>
      <c r="B13735" t="s">
        <v>183</v>
      </c>
      <c r="C13735" s="2">
        <f>HYPERLINK("https://sao.dolgi.msk.ru/account/1404215571/", 1404215571)</f>
        <v>1404215571</v>
      </c>
      <c r="D13735">
        <v>-5100.79</v>
      </c>
    </row>
    <row r="13736" spans="1:4" x14ac:dyDescent="0.25">
      <c r="A13736" t="s">
        <v>718</v>
      </c>
      <c r="B13736" t="s">
        <v>184</v>
      </c>
      <c r="C13736" s="2">
        <f>HYPERLINK("https://sao.dolgi.msk.ru/account/1404217649/", 1404217649)</f>
        <v>1404217649</v>
      </c>
      <c r="D13736">
        <v>5709.61</v>
      </c>
    </row>
    <row r="13737" spans="1:4" x14ac:dyDescent="0.25">
      <c r="A13737" t="s">
        <v>718</v>
      </c>
      <c r="B13737" t="s">
        <v>185</v>
      </c>
      <c r="C13737" s="2">
        <f>HYPERLINK("https://sao.dolgi.msk.ru/account/1404216208/", 1404216208)</f>
        <v>1404216208</v>
      </c>
      <c r="D13737">
        <v>934.69</v>
      </c>
    </row>
    <row r="13738" spans="1:4" x14ac:dyDescent="0.25">
      <c r="A13738" t="s">
        <v>718</v>
      </c>
      <c r="B13738" t="s">
        <v>186</v>
      </c>
      <c r="C13738" s="2">
        <f>HYPERLINK("https://sao.dolgi.msk.ru/account/1404215766/", 1404215766)</f>
        <v>1404215766</v>
      </c>
      <c r="D13738">
        <v>15395.73</v>
      </c>
    </row>
    <row r="13739" spans="1:4" hidden="1" x14ac:dyDescent="0.25">
      <c r="A13739" t="s">
        <v>718</v>
      </c>
      <c r="B13739" t="s">
        <v>187</v>
      </c>
      <c r="C13739" s="2">
        <f>HYPERLINK("https://sao.dolgi.msk.ru/account/1404215918/", 1404215918)</f>
        <v>1404215918</v>
      </c>
      <c r="D13739">
        <v>-3098.6</v>
      </c>
    </row>
    <row r="13740" spans="1:4" hidden="1" x14ac:dyDescent="0.25">
      <c r="A13740" t="s">
        <v>718</v>
      </c>
      <c r="B13740" t="s">
        <v>188</v>
      </c>
      <c r="C13740" s="2">
        <f>HYPERLINK("https://sao.dolgi.msk.ru/account/1404216646/", 1404216646)</f>
        <v>1404216646</v>
      </c>
      <c r="D13740">
        <v>-8875.2099999999991</v>
      </c>
    </row>
    <row r="13741" spans="1:4" x14ac:dyDescent="0.25">
      <c r="A13741" t="s">
        <v>718</v>
      </c>
      <c r="B13741" t="s">
        <v>189</v>
      </c>
      <c r="C13741" s="2">
        <f>HYPERLINK("https://sao.dolgi.msk.ru/account/1404216603/", 1404216603)</f>
        <v>1404216603</v>
      </c>
      <c r="D13741">
        <v>10161.36</v>
      </c>
    </row>
    <row r="13742" spans="1:4" hidden="1" x14ac:dyDescent="0.25">
      <c r="A13742" t="s">
        <v>718</v>
      </c>
      <c r="B13742" t="s">
        <v>190</v>
      </c>
      <c r="C13742" s="2">
        <f>HYPERLINK("https://sao.dolgi.msk.ru/account/1404216021/", 1404216021)</f>
        <v>1404216021</v>
      </c>
      <c r="D13742">
        <v>0</v>
      </c>
    </row>
    <row r="13743" spans="1:4" hidden="1" x14ac:dyDescent="0.25">
      <c r="A13743" t="s">
        <v>718</v>
      </c>
      <c r="B13743" t="s">
        <v>191</v>
      </c>
      <c r="C13743" s="2">
        <f>HYPERLINK("https://sao.dolgi.msk.ru/account/1404217171/", 1404217171)</f>
        <v>1404217171</v>
      </c>
      <c r="D13743">
        <v>-4923.43</v>
      </c>
    </row>
    <row r="13744" spans="1:4" hidden="1" x14ac:dyDescent="0.25">
      <c r="A13744" t="s">
        <v>718</v>
      </c>
      <c r="B13744" t="s">
        <v>192</v>
      </c>
      <c r="C13744" s="2">
        <f>HYPERLINK("https://sao.dolgi.msk.ru/account/1404216283/", 1404216283)</f>
        <v>1404216283</v>
      </c>
      <c r="D13744">
        <v>-4402.5600000000004</v>
      </c>
    </row>
    <row r="13745" spans="1:4" hidden="1" x14ac:dyDescent="0.25">
      <c r="A13745" t="s">
        <v>718</v>
      </c>
      <c r="B13745" t="s">
        <v>193</v>
      </c>
      <c r="C13745" s="2">
        <f>HYPERLINK("https://sao.dolgi.msk.ru/account/1404216662/", 1404216662)</f>
        <v>1404216662</v>
      </c>
      <c r="D13745">
        <v>-4499.3500000000004</v>
      </c>
    </row>
    <row r="13746" spans="1:4" hidden="1" x14ac:dyDescent="0.25">
      <c r="A13746" t="s">
        <v>718</v>
      </c>
      <c r="B13746" t="s">
        <v>194</v>
      </c>
      <c r="C13746" s="2">
        <f>HYPERLINK("https://sao.dolgi.msk.ru/account/1404215651/", 1404215651)</f>
        <v>1404215651</v>
      </c>
      <c r="D13746">
        <v>-1090.5899999999999</v>
      </c>
    </row>
    <row r="13747" spans="1:4" hidden="1" x14ac:dyDescent="0.25">
      <c r="A13747" t="s">
        <v>718</v>
      </c>
      <c r="B13747" t="s">
        <v>195</v>
      </c>
      <c r="C13747" s="2">
        <f>HYPERLINK("https://sao.dolgi.msk.ru/account/1404215897/", 1404215897)</f>
        <v>1404215897</v>
      </c>
      <c r="D13747">
        <v>-4371.3599999999997</v>
      </c>
    </row>
    <row r="13748" spans="1:4" hidden="1" x14ac:dyDescent="0.25">
      <c r="A13748" t="s">
        <v>718</v>
      </c>
      <c r="B13748" t="s">
        <v>196</v>
      </c>
      <c r="C13748" s="2">
        <f>HYPERLINK("https://sao.dolgi.msk.ru/account/1404217147/", 1404217147)</f>
        <v>1404217147</v>
      </c>
      <c r="D13748">
        <v>-7675.72</v>
      </c>
    </row>
    <row r="13749" spans="1:4" x14ac:dyDescent="0.25">
      <c r="A13749" t="s">
        <v>718</v>
      </c>
      <c r="B13749" t="s">
        <v>197</v>
      </c>
      <c r="C13749" s="2">
        <f>HYPERLINK("https://sao.dolgi.msk.ru/account/1404217016/", 1404217016)</f>
        <v>1404217016</v>
      </c>
      <c r="D13749">
        <v>15004.86</v>
      </c>
    </row>
    <row r="13750" spans="1:4" x14ac:dyDescent="0.25">
      <c r="A13750" t="s">
        <v>718</v>
      </c>
      <c r="B13750" t="s">
        <v>198</v>
      </c>
      <c r="C13750" s="2">
        <f>HYPERLINK("https://sao.dolgi.msk.ru/account/1404216929/", 1404216929)</f>
        <v>1404216929</v>
      </c>
      <c r="D13750">
        <v>6167.77</v>
      </c>
    </row>
    <row r="13751" spans="1:4" hidden="1" x14ac:dyDescent="0.25">
      <c r="A13751" t="s">
        <v>718</v>
      </c>
      <c r="B13751" t="s">
        <v>199</v>
      </c>
      <c r="C13751" s="2">
        <f>HYPERLINK("https://sao.dolgi.msk.ru/account/1404217657/", 1404217657)</f>
        <v>1404217657</v>
      </c>
      <c r="D13751">
        <v>0</v>
      </c>
    </row>
    <row r="13752" spans="1:4" hidden="1" x14ac:dyDescent="0.25">
      <c r="A13752" t="s">
        <v>718</v>
      </c>
      <c r="B13752" t="s">
        <v>200</v>
      </c>
      <c r="C13752" s="2">
        <f>HYPERLINK("https://sao.dolgi.msk.ru/account/1404217112/", 1404217112)</f>
        <v>1404217112</v>
      </c>
      <c r="D13752">
        <v>-3591.87</v>
      </c>
    </row>
    <row r="13753" spans="1:4" hidden="1" x14ac:dyDescent="0.25">
      <c r="A13753" t="s">
        <v>718</v>
      </c>
      <c r="B13753" t="s">
        <v>201</v>
      </c>
      <c r="C13753" s="2">
        <f>HYPERLINK("https://sao.dolgi.msk.ru/account/1404217497/", 1404217497)</f>
        <v>1404217497</v>
      </c>
      <c r="D13753">
        <v>0</v>
      </c>
    </row>
    <row r="13754" spans="1:4" hidden="1" x14ac:dyDescent="0.25">
      <c r="A13754" t="s">
        <v>718</v>
      </c>
      <c r="B13754" t="s">
        <v>202</v>
      </c>
      <c r="C13754" s="2">
        <f>HYPERLINK("https://sao.dolgi.msk.ru/account/1404216195/", 1404216195)</f>
        <v>1404216195</v>
      </c>
      <c r="D13754">
        <v>-6081.04</v>
      </c>
    </row>
    <row r="13755" spans="1:4" hidden="1" x14ac:dyDescent="0.25">
      <c r="A13755" t="s">
        <v>718</v>
      </c>
      <c r="B13755" t="s">
        <v>203</v>
      </c>
      <c r="C13755" s="2">
        <f>HYPERLINK("https://sao.dolgi.msk.ru/account/1404215934/", 1404215934)</f>
        <v>1404215934</v>
      </c>
      <c r="D13755">
        <v>-6496.4</v>
      </c>
    </row>
    <row r="13756" spans="1:4" hidden="1" x14ac:dyDescent="0.25">
      <c r="A13756" t="s">
        <v>718</v>
      </c>
      <c r="B13756" t="s">
        <v>204</v>
      </c>
      <c r="C13756" s="2">
        <f>HYPERLINK("https://sao.dolgi.msk.ru/account/1404216902/", 1404216902)</f>
        <v>1404216902</v>
      </c>
      <c r="D13756">
        <v>-4976.3999999999996</v>
      </c>
    </row>
    <row r="13757" spans="1:4" x14ac:dyDescent="0.25">
      <c r="A13757" t="s">
        <v>718</v>
      </c>
      <c r="B13757" t="s">
        <v>205</v>
      </c>
      <c r="C13757" s="2">
        <f>HYPERLINK("https://sao.dolgi.msk.ru/account/1404216072/", 1404216072)</f>
        <v>1404216072</v>
      </c>
      <c r="D13757">
        <v>3109.77</v>
      </c>
    </row>
    <row r="13758" spans="1:4" hidden="1" x14ac:dyDescent="0.25">
      <c r="A13758" t="s">
        <v>718</v>
      </c>
      <c r="B13758" t="s">
        <v>206</v>
      </c>
      <c r="C13758" s="2">
        <f>HYPERLINK("https://sao.dolgi.msk.ru/account/1404216785/", 1404216785)</f>
        <v>1404216785</v>
      </c>
      <c r="D13758">
        <v>0</v>
      </c>
    </row>
    <row r="13759" spans="1:4" hidden="1" x14ac:dyDescent="0.25">
      <c r="A13759" t="s">
        <v>718</v>
      </c>
      <c r="B13759" t="s">
        <v>207</v>
      </c>
      <c r="C13759" s="2">
        <f>HYPERLINK("https://sao.dolgi.msk.ru/account/1404215723/", 1404215723)</f>
        <v>1404215723</v>
      </c>
      <c r="D13759">
        <v>0</v>
      </c>
    </row>
    <row r="13760" spans="1:4" hidden="1" x14ac:dyDescent="0.25">
      <c r="A13760" t="s">
        <v>718</v>
      </c>
      <c r="B13760" t="s">
        <v>208</v>
      </c>
      <c r="C13760" s="2">
        <f>HYPERLINK("https://sao.dolgi.msk.ru/account/1404217251/", 1404217251)</f>
        <v>1404217251</v>
      </c>
      <c r="D13760">
        <v>0</v>
      </c>
    </row>
    <row r="13761" spans="1:4" hidden="1" x14ac:dyDescent="0.25">
      <c r="A13761" t="s">
        <v>718</v>
      </c>
      <c r="B13761" t="s">
        <v>209</v>
      </c>
      <c r="C13761" s="2">
        <f>HYPERLINK("https://sao.dolgi.msk.ru/account/1404216881/", 1404216881)</f>
        <v>1404216881</v>
      </c>
      <c r="D13761">
        <v>-4962.54</v>
      </c>
    </row>
    <row r="13762" spans="1:4" hidden="1" x14ac:dyDescent="0.25">
      <c r="A13762" t="s">
        <v>718</v>
      </c>
      <c r="B13762" t="s">
        <v>210</v>
      </c>
      <c r="C13762" s="2">
        <f>HYPERLINK("https://sao.dolgi.msk.ru/account/1404215862/", 1404215862)</f>
        <v>1404215862</v>
      </c>
      <c r="D13762">
        <v>-7126.2</v>
      </c>
    </row>
    <row r="13763" spans="1:4" x14ac:dyDescent="0.25">
      <c r="A13763" t="s">
        <v>718</v>
      </c>
      <c r="B13763" t="s">
        <v>211</v>
      </c>
      <c r="C13763" s="2">
        <f>HYPERLINK("https://sao.dolgi.msk.ru/account/1404215598/", 1404215598)</f>
        <v>1404215598</v>
      </c>
      <c r="D13763">
        <v>8126.8</v>
      </c>
    </row>
    <row r="13764" spans="1:4" hidden="1" x14ac:dyDescent="0.25">
      <c r="A13764" t="s">
        <v>718</v>
      </c>
      <c r="B13764" t="s">
        <v>212</v>
      </c>
      <c r="C13764" s="2">
        <f>HYPERLINK("https://sao.dolgi.msk.ru/account/1404218422/", 1404218422)</f>
        <v>1404218422</v>
      </c>
      <c r="D13764">
        <v>0</v>
      </c>
    </row>
    <row r="13765" spans="1:4" x14ac:dyDescent="0.25">
      <c r="A13765" t="s">
        <v>718</v>
      </c>
      <c r="B13765" t="s">
        <v>213</v>
      </c>
      <c r="C13765" s="2">
        <f>HYPERLINK("https://sao.dolgi.msk.ru/account/1404218393/", 1404218393)</f>
        <v>1404218393</v>
      </c>
      <c r="D13765">
        <v>937.1</v>
      </c>
    </row>
    <row r="13766" spans="1:4" hidden="1" x14ac:dyDescent="0.25">
      <c r="A13766" t="s">
        <v>718</v>
      </c>
      <c r="B13766" t="s">
        <v>214</v>
      </c>
      <c r="C13766" s="2">
        <f>HYPERLINK("https://sao.dolgi.msk.ru/account/1404217104/", 1404217104)</f>
        <v>1404217104</v>
      </c>
      <c r="D13766">
        <v>-4643.5200000000004</v>
      </c>
    </row>
    <row r="13767" spans="1:4" hidden="1" x14ac:dyDescent="0.25">
      <c r="A13767" t="s">
        <v>718</v>
      </c>
      <c r="B13767" t="s">
        <v>215</v>
      </c>
      <c r="C13767" s="2">
        <f>HYPERLINK("https://sao.dolgi.msk.ru/account/1404216961/", 1404216961)</f>
        <v>1404216961</v>
      </c>
      <c r="D13767">
        <v>0</v>
      </c>
    </row>
    <row r="13768" spans="1:4" hidden="1" x14ac:dyDescent="0.25">
      <c r="A13768" t="s">
        <v>718</v>
      </c>
      <c r="B13768" t="s">
        <v>216</v>
      </c>
      <c r="C13768" s="2">
        <f>HYPERLINK("https://sao.dolgi.msk.ru/account/1404216419/", 1404216419)</f>
        <v>1404216419</v>
      </c>
      <c r="D13768">
        <v>-5334.26</v>
      </c>
    </row>
    <row r="13769" spans="1:4" hidden="1" x14ac:dyDescent="0.25">
      <c r="A13769" t="s">
        <v>718</v>
      </c>
      <c r="B13769" t="s">
        <v>217</v>
      </c>
      <c r="C13769" s="2">
        <f>HYPERLINK("https://sao.dolgi.msk.ru/account/1404217841/", 1404217841)</f>
        <v>1404217841</v>
      </c>
      <c r="D13769">
        <v>-11378.58</v>
      </c>
    </row>
    <row r="13770" spans="1:4" hidden="1" x14ac:dyDescent="0.25">
      <c r="A13770" t="s">
        <v>718</v>
      </c>
      <c r="B13770" t="s">
        <v>218</v>
      </c>
      <c r="C13770" s="2">
        <f>HYPERLINK("https://sao.dolgi.msk.ru/account/1404217913/", 1404217913)</f>
        <v>1404217913</v>
      </c>
      <c r="D13770">
        <v>-3771.38</v>
      </c>
    </row>
    <row r="13771" spans="1:4" hidden="1" x14ac:dyDescent="0.25">
      <c r="A13771" t="s">
        <v>718</v>
      </c>
      <c r="B13771" t="s">
        <v>219</v>
      </c>
      <c r="C13771" s="2">
        <f>HYPERLINK("https://sao.dolgi.msk.ru/account/1404217972/", 1404217972)</f>
        <v>1404217972</v>
      </c>
      <c r="D13771">
        <v>-3689.03</v>
      </c>
    </row>
    <row r="13772" spans="1:4" hidden="1" x14ac:dyDescent="0.25">
      <c r="A13772" t="s">
        <v>718</v>
      </c>
      <c r="B13772" t="s">
        <v>220</v>
      </c>
      <c r="C13772" s="2">
        <f>HYPERLINK("https://sao.dolgi.msk.ru/account/1404217403/", 1404217403)</f>
        <v>1404217403</v>
      </c>
      <c r="D13772">
        <v>-7113.91</v>
      </c>
    </row>
    <row r="13773" spans="1:4" hidden="1" x14ac:dyDescent="0.25">
      <c r="A13773" t="s">
        <v>718</v>
      </c>
      <c r="B13773" t="s">
        <v>221</v>
      </c>
      <c r="C13773" s="2">
        <f>HYPERLINK("https://sao.dolgi.msk.ru/account/1404217008/", 1404217008)</f>
        <v>1404217008</v>
      </c>
      <c r="D13773">
        <v>-3828.64</v>
      </c>
    </row>
    <row r="13774" spans="1:4" hidden="1" x14ac:dyDescent="0.25">
      <c r="A13774" t="s">
        <v>718</v>
      </c>
      <c r="B13774" t="s">
        <v>222</v>
      </c>
      <c r="C13774" s="2">
        <f>HYPERLINK("https://sao.dolgi.msk.ru/account/1404216355/", 1404216355)</f>
        <v>1404216355</v>
      </c>
      <c r="D13774">
        <v>-5609.41</v>
      </c>
    </row>
    <row r="13775" spans="1:4" x14ac:dyDescent="0.25">
      <c r="A13775" t="s">
        <v>718</v>
      </c>
      <c r="B13775" t="s">
        <v>223</v>
      </c>
      <c r="C13775" s="2">
        <f>HYPERLINK("https://sao.dolgi.msk.ru/account/1404218051/", 1404218051)</f>
        <v>1404218051</v>
      </c>
      <c r="D13775">
        <v>8745.27</v>
      </c>
    </row>
    <row r="13776" spans="1:4" hidden="1" x14ac:dyDescent="0.25">
      <c r="A13776" t="s">
        <v>718</v>
      </c>
      <c r="B13776" t="s">
        <v>224</v>
      </c>
      <c r="C13776" s="2">
        <f>HYPERLINK("https://sao.dolgi.msk.ru/account/1404217358/", 1404217358)</f>
        <v>1404217358</v>
      </c>
      <c r="D13776">
        <v>0</v>
      </c>
    </row>
    <row r="13777" spans="1:4" hidden="1" x14ac:dyDescent="0.25">
      <c r="A13777" t="s">
        <v>718</v>
      </c>
      <c r="B13777" t="s">
        <v>225</v>
      </c>
      <c r="C13777" s="2">
        <f>HYPERLINK("https://sao.dolgi.msk.ru/account/1404216267/", 1404216267)</f>
        <v>1404216267</v>
      </c>
      <c r="D13777">
        <v>0</v>
      </c>
    </row>
    <row r="13778" spans="1:4" hidden="1" x14ac:dyDescent="0.25">
      <c r="A13778" t="s">
        <v>718</v>
      </c>
      <c r="B13778" t="s">
        <v>226</v>
      </c>
      <c r="C13778" s="2">
        <f>HYPERLINK("https://sao.dolgi.msk.ru/account/1404216865/", 1404216865)</f>
        <v>1404216865</v>
      </c>
      <c r="D13778">
        <v>0</v>
      </c>
    </row>
    <row r="13779" spans="1:4" hidden="1" x14ac:dyDescent="0.25">
      <c r="A13779" t="s">
        <v>718</v>
      </c>
      <c r="B13779" t="s">
        <v>227</v>
      </c>
      <c r="C13779" s="2">
        <f>HYPERLINK("https://sao.dolgi.msk.ru/account/1404216531/", 1404216531)</f>
        <v>1404216531</v>
      </c>
      <c r="D13779">
        <v>-6588.25</v>
      </c>
    </row>
    <row r="13780" spans="1:4" hidden="1" x14ac:dyDescent="0.25">
      <c r="A13780" t="s">
        <v>718</v>
      </c>
      <c r="B13780" t="s">
        <v>228</v>
      </c>
      <c r="C13780" s="2">
        <f>HYPERLINK("https://sao.dolgi.msk.ru/account/1404216435/", 1404216435)</f>
        <v>1404216435</v>
      </c>
      <c r="D13780">
        <v>-3534.66</v>
      </c>
    </row>
    <row r="13781" spans="1:4" hidden="1" x14ac:dyDescent="0.25">
      <c r="A13781" t="s">
        <v>718</v>
      </c>
      <c r="B13781" t="s">
        <v>229</v>
      </c>
      <c r="C13781" s="2">
        <f>HYPERLINK("https://sao.dolgi.msk.ru/account/1404217622/", 1404217622)</f>
        <v>1404217622</v>
      </c>
      <c r="D13781">
        <v>-4280.51</v>
      </c>
    </row>
    <row r="13782" spans="1:4" hidden="1" x14ac:dyDescent="0.25">
      <c r="A13782" t="s">
        <v>718</v>
      </c>
      <c r="B13782" t="s">
        <v>230</v>
      </c>
      <c r="C13782" s="2">
        <f>HYPERLINK("https://sao.dolgi.msk.ru/account/1404216013/", 1404216013)</f>
        <v>1404216013</v>
      </c>
      <c r="D13782">
        <v>-5993.19</v>
      </c>
    </row>
    <row r="13783" spans="1:4" hidden="1" x14ac:dyDescent="0.25">
      <c r="A13783" t="s">
        <v>718</v>
      </c>
      <c r="B13783" t="s">
        <v>231</v>
      </c>
      <c r="C13783" s="2">
        <f>HYPERLINK("https://sao.dolgi.msk.ru/account/1404215854/", 1404215854)</f>
        <v>1404215854</v>
      </c>
      <c r="D13783">
        <v>-18286.04</v>
      </c>
    </row>
    <row r="13784" spans="1:4" x14ac:dyDescent="0.25">
      <c r="A13784" t="s">
        <v>718</v>
      </c>
      <c r="B13784" t="s">
        <v>232</v>
      </c>
      <c r="C13784" s="2">
        <f>HYPERLINK("https://sao.dolgi.msk.ru/account/1404215563/", 1404215563)</f>
        <v>1404215563</v>
      </c>
      <c r="D13784">
        <v>14643.82</v>
      </c>
    </row>
    <row r="13785" spans="1:4" hidden="1" x14ac:dyDescent="0.25">
      <c r="A13785" t="s">
        <v>718</v>
      </c>
      <c r="B13785" t="s">
        <v>233</v>
      </c>
      <c r="C13785" s="2">
        <f>HYPERLINK("https://sao.dolgi.msk.ru/account/1404217569/", 1404217569)</f>
        <v>1404217569</v>
      </c>
      <c r="D13785">
        <v>-4455.83</v>
      </c>
    </row>
    <row r="13786" spans="1:4" x14ac:dyDescent="0.25">
      <c r="A13786" t="s">
        <v>718</v>
      </c>
      <c r="B13786" t="s">
        <v>234</v>
      </c>
      <c r="C13786" s="2">
        <f>HYPERLINK("https://sao.dolgi.msk.ru/account/1404216937/", 1404216937)</f>
        <v>1404216937</v>
      </c>
      <c r="D13786">
        <v>1323</v>
      </c>
    </row>
    <row r="13787" spans="1:4" x14ac:dyDescent="0.25">
      <c r="A13787" t="s">
        <v>718</v>
      </c>
      <c r="B13787" t="s">
        <v>235</v>
      </c>
      <c r="C13787" s="2">
        <f>HYPERLINK("https://sao.dolgi.msk.ru/account/1404215977/", 1404215977)</f>
        <v>1404215977</v>
      </c>
      <c r="D13787">
        <v>4069.11</v>
      </c>
    </row>
    <row r="13788" spans="1:4" hidden="1" x14ac:dyDescent="0.25">
      <c r="A13788" t="s">
        <v>718</v>
      </c>
      <c r="B13788" t="s">
        <v>239</v>
      </c>
      <c r="C13788" s="2">
        <f>HYPERLINK("https://sao.dolgi.msk.ru/account/1404216806/", 1404216806)</f>
        <v>1404216806</v>
      </c>
      <c r="D13788">
        <v>0</v>
      </c>
    </row>
    <row r="13789" spans="1:4" hidden="1" x14ac:dyDescent="0.25">
      <c r="A13789" t="s">
        <v>718</v>
      </c>
      <c r="B13789" t="s">
        <v>240</v>
      </c>
      <c r="C13789" s="2">
        <f>HYPERLINK("https://sao.dolgi.msk.ru/account/1404218262/", 1404218262)</f>
        <v>1404218262</v>
      </c>
      <c r="D13789">
        <v>-15474.83</v>
      </c>
    </row>
    <row r="13790" spans="1:4" hidden="1" x14ac:dyDescent="0.25">
      <c r="A13790" t="s">
        <v>718</v>
      </c>
      <c r="B13790" t="s">
        <v>241</v>
      </c>
      <c r="C13790" s="2">
        <f>HYPERLINK("https://sao.dolgi.msk.ru/account/1404217278/", 1404217278)</f>
        <v>1404217278</v>
      </c>
      <c r="D13790">
        <v>-4443.75</v>
      </c>
    </row>
    <row r="13791" spans="1:4" hidden="1" x14ac:dyDescent="0.25">
      <c r="A13791" t="s">
        <v>718</v>
      </c>
      <c r="B13791" t="s">
        <v>242</v>
      </c>
      <c r="C13791" s="2">
        <f>HYPERLINK("https://sao.dolgi.msk.ru/account/1404216187/", 1404216187)</f>
        <v>1404216187</v>
      </c>
      <c r="D13791">
        <v>0</v>
      </c>
    </row>
    <row r="13792" spans="1:4" hidden="1" x14ac:dyDescent="0.25">
      <c r="A13792" t="s">
        <v>718</v>
      </c>
      <c r="B13792" t="s">
        <v>243</v>
      </c>
      <c r="C13792" s="2">
        <f>HYPERLINK("https://sao.dolgi.msk.ru/account/1404215803/", 1404215803)</f>
        <v>1404215803</v>
      </c>
      <c r="D13792">
        <v>-4158.8</v>
      </c>
    </row>
    <row r="13793" spans="1:4" hidden="1" x14ac:dyDescent="0.25">
      <c r="A13793" t="s">
        <v>718</v>
      </c>
      <c r="B13793" t="s">
        <v>244</v>
      </c>
      <c r="C13793" s="2">
        <f>HYPERLINK("https://sao.dolgi.msk.ru/account/1404218369/", 1404218369)</f>
        <v>1404218369</v>
      </c>
      <c r="D13793">
        <v>0</v>
      </c>
    </row>
    <row r="13794" spans="1:4" x14ac:dyDescent="0.25">
      <c r="A13794" t="s">
        <v>718</v>
      </c>
      <c r="B13794" t="s">
        <v>245</v>
      </c>
      <c r="C13794" s="2">
        <f>HYPERLINK("https://sao.dolgi.msk.ru/account/1404216371/", 1404216371)</f>
        <v>1404216371</v>
      </c>
      <c r="D13794">
        <v>6570.49</v>
      </c>
    </row>
    <row r="13795" spans="1:4" x14ac:dyDescent="0.25">
      <c r="A13795" t="s">
        <v>719</v>
      </c>
      <c r="B13795" t="s">
        <v>5</v>
      </c>
      <c r="C13795" s="2">
        <f>HYPERLINK("https://sao.dolgi.msk.ru/account/1404220135/", 1404220135)</f>
        <v>1404220135</v>
      </c>
      <c r="D13795">
        <v>4797.04</v>
      </c>
    </row>
    <row r="13796" spans="1:4" hidden="1" x14ac:dyDescent="0.25">
      <c r="A13796" t="s">
        <v>719</v>
      </c>
      <c r="B13796" t="s">
        <v>6</v>
      </c>
      <c r="C13796" s="2">
        <f>HYPERLINK("https://sao.dolgi.msk.ru/account/1404219396/", 1404219396)</f>
        <v>1404219396</v>
      </c>
      <c r="D13796">
        <v>-4413.93</v>
      </c>
    </row>
    <row r="13797" spans="1:4" hidden="1" x14ac:dyDescent="0.25">
      <c r="A13797" t="s">
        <v>719</v>
      </c>
      <c r="B13797" t="s">
        <v>7</v>
      </c>
      <c r="C13797" s="2">
        <f>HYPERLINK("https://sao.dolgi.msk.ru/account/1404219361/", 1404219361)</f>
        <v>1404219361</v>
      </c>
      <c r="D13797">
        <v>-3107.67</v>
      </c>
    </row>
    <row r="13798" spans="1:4" hidden="1" x14ac:dyDescent="0.25">
      <c r="A13798" t="s">
        <v>719</v>
      </c>
      <c r="B13798" t="s">
        <v>8</v>
      </c>
      <c r="C13798" s="2">
        <f>HYPERLINK("https://sao.dolgi.msk.ru/account/1404218617/", 1404218617)</f>
        <v>1404218617</v>
      </c>
      <c r="D13798">
        <v>-7621.98</v>
      </c>
    </row>
    <row r="13799" spans="1:4" hidden="1" x14ac:dyDescent="0.25">
      <c r="A13799" t="s">
        <v>719</v>
      </c>
      <c r="B13799" t="s">
        <v>9</v>
      </c>
      <c r="C13799" s="2">
        <f>HYPERLINK("https://sao.dolgi.msk.ru/account/1404221007/", 1404221007)</f>
        <v>1404221007</v>
      </c>
      <c r="D13799">
        <v>0</v>
      </c>
    </row>
    <row r="13800" spans="1:4" hidden="1" x14ac:dyDescent="0.25">
      <c r="A13800" t="s">
        <v>719</v>
      </c>
      <c r="B13800" t="s">
        <v>10</v>
      </c>
      <c r="C13800" s="2">
        <f>HYPERLINK("https://sao.dolgi.msk.ru/account/1404220821/", 1404220821)</f>
        <v>1404220821</v>
      </c>
      <c r="D13800">
        <v>-3839.57</v>
      </c>
    </row>
    <row r="13801" spans="1:4" hidden="1" x14ac:dyDescent="0.25">
      <c r="A13801" t="s">
        <v>719</v>
      </c>
      <c r="B13801" t="s">
        <v>11</v>
      </c>
      <c r="C13801" s="2">
        <f>HYPERLINK("https://sao.dolgi.msk.ru/account/1404221349/", 1404221349)</f>
        <v>1404221349</v>
      </c>
      <c r="D13801">
        <v>0</v>
      </c>
    </row>
    <row r="13802" spans="1:4" hidden="1" x14ac:dyDescent="0.25">
      <c r="A13802" t="s">
        <v>719</v>
      </c>
      <c r="B13802" t="s">
        <v>12</v>
      </c>
      <c r="C13802" s="2">
        <f>HYPERLINK("https://sao.dolgi.msk.ru/account/1404218983/", 1404218983)</f>
        <v>1404218983</v>
      </c>
      <c r="D13802">
        <v>-4607.5200000000004</v>
      </c>
    </row>
    <row r="13803" spans="1:4" hidden="1" x14ac:dyDescent="0.25">
      <c r="A13803" t="s">
        <v>719</v>
      </c>
      <c r="B13803" t="s">
        <v>13</v>
      </c>
      <c r="C13803" s="2">
        <f>HYPERLINK("https://sao.dolgi.msk.ru/account/1404218975/", 1404218975)</f>
        <v>1404218975</v>
      </c>
      <c r="D13803">
        <v>-7226.64</v>
      </c>
    </row>
    <row r="13804" spans="1:4" hidden="1" x14ac:dyDescent="0.25">
      <c r="A13804" t="s">
        <v>719</v>
      </c>
      <c r="B13804" t="s">
        <v>14</v>
      </c>
      <c r="C13804" s="2">
        <f>HYPERLINK("https://sao.dolgi.msk.ru/account/1404219935/", 1404219935)</f>
        <v>1404219935</v>
      </c>
      <c r="D13804">
        <v>-4912.5600000000004</v>
      </c>
    </row>
    <row r="13805" spans="1:4" hidden="1" x14ac:dyDescent="0.25">
      <c r="A13805" t="s">
        <v>719</v>
      </c>
      <c r="B13805" t="s">
        <v>15</v>
      </c>
      <c r="C13805" s="2">
        <f>HYPERLINK("https://sao.dolgi.msk.ru/account/1404218932/", 1404218932)</f>
        <v>1404218932</v>
      </c>
      <c r="D13805">
        <v>0</v>
      </c>
    </row>
    <row r="13806" spans="1:4" hidden="1" x14ac:dyDescent="0.25">
      <c r="A13806" t="s">
        <v>719</v>
      </c>
      <c r="B13806" t="s">
        <v>16</v>
      </c>
      <c r="C13806" s="2">
        <f>HYPERLINK("https://sao.dolgi.msk.ru/account/1404219927/", 1404219927)</f>
        <v>1404219927</v>
      </c>
      <c r="D13806">
        <v>-3943.61</v>
      </c>
    </row>
    <row r="13807" spans="1:4" hidden="1" x14ac:dyDescent="0.25">
      <c r="A13807" t="s">
        <v>719</v>
      </c>
      <c r="B13807" t="s">
        <v>17</v>
      </c>
      <c r="C13807" s="2">
        <f>HYPERLINK("https://sao.dolgi.msk.ru/account/1404220709/", 1404220709)</f>
        <v>1404220709</v>
      </c>
      <c r="D13807">
        <v>0</v>
      </c>
    </row>
    <row r="13808" spans="1:4" hidden="1" x14ac:dyDescent="0.25">
      <c r="A13808" t="s">
        <v>719</v>
      </c>
      <c r="B13808" t="s">
        <v>18</v>
      </c>
      <c r="C13808" s="2">
        <f>HYPERLINK("https://sao.dolgi.msk.ru/account/1404221373/", 1404221373)</f>
        <v>1404221373</v>
      </c>
      <c r="D13808">
        <v>0</v>
      </c>
    </row>
    <row r="13809" spans="1:4" hidden="1" x14ac:dyDescent="0.25">
      <c r="A13809" t="s">
        <v>719</v>
      </c>
      <c r="B13809" t="s">
        <v>19</v>
      </c>
      <c r="C13809" s="2">
        <f>HYPERLINK("https://sao.dolgi.msk.ru/account/1404218916/", 1404218916)</f>
        <v>1404218916</v>
      </c>
      <c r="D13809">
        <v>-5841.09</v>
      </c>
    </row>
    <row r="13810" spans="1:4" hidden="1" x14ac:dyDescent="0.25">
      <c r="A13810" t="s">
        <v>719</v>
      </c>
      <c r="B13810" t="s">
        <v>20</v>
      </c>
      <c r="C13810" s="2">
        <f>HYPERLINK("https://sao.dolgi.msk.ru/account/1404219708/", 1404219708)</f>
        <v>1404219708</v>
      </c>
      <c r="D13810">
        <v>0</v>
      </c>
    </row>
    <row r="13811" spans="1:4" hidden="1" x14ac:dyDescent="0.25">
      <c r="A13811" t="s">
        <v>719</v>
      </c>
      <c r="B13811" t="s">
        <v>21</v>
      </c>
      <c r="C13811" s="2">
        <f>HYPERLINK("https://sao.dolgi.msk.ru/account/1404218692/", 1404218692)</f>
        <v>1404218692</v>
      </c>
      <c r="D13811">
        <v>-15196.91</v>
      </c>
    </row>
    <row r="13812" spans="1:4" hidden="1" x14ac:dyDescent="0.25">
      <c r="A13812" t="s">
        <v>719</v>
      </c>
      <c r="B13812" t="s">
        <v>22</v>
      </c>
      <c r="C13812" s="2">
        <f>HYPERLINK("https://sao.dolgi.msk.ru/account/1404219732/", 1404219732)</f>
        <v>1404219732</v>
      </c>
      <c r="D13812">
        <v>0</v>
      </c>
    </row>
    <row r="13813" spans="1:4" hidden="1" x14ac:dyDescent="0.25">
      <c r="A13813" t="s">
        <v>719</v>
      </c>
      <c r="B13813" t="s">
        <v>23</v>
      </c>
      <c r="C13813" s="2">
        <f>HYPERLINK("https://sao.dolgi.msk.ru/account/1404219062/", 1404219062)</f>
        <v>1404219062</v>
      </c>
      <c r="D13813">
        <v>0</v>
      </c>
    </row>
    <row r="13814" spans="1:4" x14ac:dyDescent="0.25">
      <c r="A13814" t="s">
        <v>719</v>
      </c>
      <c r="B13814" t="s">
        <v>24</v>
      </c>
      <c r="C13814" s="2">
        <f>HYPERLINK("https://sao.dolgi.msk.ru/account/1404218684/", 1404218684)</f>
        <v>1404218684</v>
      </c>
      <c r="D13814">
        <v>8410.81</v>
      </c>
    </row>
    <row r="13815" spans="1:4" hidden="1" x14ac:dyDescent="0.25">
      <c r="A13815" t="s">
        <v>719</v>
      </c>
      <c r="B13815" t="s">
        <v>25</v>
      </c>
      <c r="C13815" s="2">
        <f>HYPERLINK("https://sao.dolgi.msk.ru/account/1404220725/", 1404220725)</f>
        <v>1404220725</v>
      </c>
      <c r="D13815">
        <v>-4554.72</v>
      </c>
    </row>
    <row r="13816" spans="1:4" hidden="1" x14ac:dyDescent="0.25">
      <c r="A13816" t="s">
        <v>719</v>
      </c>
      <c r="B13816" t="s">
        <v>26</v>
      </c>
      <c r="C13816" s="2">
        <f>HYPERLINK("https://sao.dolgi.msk.ru/account/1404221234/", 1404221234)</f>
        <v>1404221234</v>
      </c>
      <c r="D13816">
        <v>-5152.32</v>
      </c>
    </row>
    <row r="13817" spans="1:4" x14ac:dyDescent="0.25">
      <c r="A13817" t="s">
        <v>719</v>
      </c>
      <c r="B13817" t="s">
        <v>27</v>
      </c>
      <c r="C13817" s="2">
        <f>HYPERLINK("https://sao.dolgi.msk.ru/account/1404219951/", 1404219951)</f>
        <v>1404219951</v>
      </c>
      <c r="D13817">
        <v>24755.88</v>
      </c>
    </row>
    <row r="13818" spans="1:4" hidden="1" x14ac:dyDescent="0.25">
      <c r="A13818" t="s">
        <v>719</v>
      </c>
      <c r="B13818" t="s">
        <v>28</v>
      </c>
      <c r="C13818" s="2">
        <f>HYPERLINK("https://sao.dolgi.msk.ru/account/1404220493/", 1404220493)</f>
        <v>1404220493</v>
      </c>
      <c r="D13818">
        <v>-5539.24</v>
      </c>
    </row>
    <row r="13819" spans="1:4" x14ac:dyDescent="0.25">
      <c r="A13819" t="s">
        <v>719</v>
      </c>
      <c r="B13819" t="s">
        <v>29</v>
      </c>
      <c r="C13819" s="2">
        <f>HYPERLINK("https://sao.dolgi.msk.ru/account/1404219353/", 1404219353)</f>
        <v>1404219353</v>
      </c>
      <c r="D13819">
        <v>8570.85</v>
      </c>
    </row>
    <row r="13820" spans="1:4" hidden="1" x14ac:dyDescent="0.25">
      <c r="A13820" t="s">
        <v>719</v>
      </c>
      <c r="B13820" t="s">
        <v>30</v>
      </c>
      <c r="C13820" s="2">
        <f>HYPERLINK("https://sao.dolgi.msk.ru/account/1404218764/", 1404218764)</f>
        <v>1404218764</v>
      </c>
      <c r="D13820">
        <v>-5244.42</v>
      </c>
    </row>
    <row r="13821" spans="1:4" hidden="1" x14ac:dyDescent="0.25">
      <c r="A13821" t="s">
        <v>719</v>
      </c>
      <c r="B13821" t="s">
        <v>31</v>
      </c>
      <c r="C13821" s="2">
        <f>HYPERLINK("https://sao.dolgi.msk.ru/account/1404220733/", 1404220733)</f>
        <v>1404220733</v>
      </c>
      <c r="D13821">
        <v>-5358.03</v>
      </c>
    </row>
    <row r="13822" spans="1:4" hidden="1" x14ac:dyDescent="0.25">
      <c r="A13822" t="s">
        <v>719</v>
      </c>
      <c r="B13822" t="s">
        <v>32</v>
      </c>
      <c r="C13822" s="2">
        <f>HYPERLINK("https://sao.dolgi.msk.ru/account/1404218545/", 1404218545)</f>
        <v>1404218545</v>
      </c>
      <c r="D13822">
        <v>-6770.81</v>
      </c>
    </row>
    <row r="13823" spans="1:4" hidden="1" x14ac:dyDescent="0.25">
      <c r="A13823" t="s">
        <v>719</v>
      </c>
      <c r="B13823" t="s">
        <v>33</v>
      </c>
      <c r="C13823" s="2">
        <f>HYPERLINK("https://sao.dolgi.msk.ru/account/1404220119/", 1404220119)</f>
        <v>1404220119</v>
      </c>
      <c r="D13823">
        <v>-7950.57</v>
      </c>
    </row>
    <row r="13824" spans="1:4" hidden="1" x14ac:dyDescent="0.25">
      <c r="A13824" t="s">
        <v>719</v>
      </c>
      <c r="B13824" t="s">
        <v>34</v>
      </c>
      <c r="C13824" s="2">
        <f>HYPERLINK("https://sao.dolgi.msk.ru/account/1404220151/", 1404220151)</f>
        <v>1404220151</v>
      </c>
      <c r="D13824">
        <v>-3361.03</v>
      </c>
    </row>
    <row r="13825" spans="1:4" hidden="1" x14ac:dyDescent="0.25">
      <c r="A13825" t="s">
        <v>719</v>
      </c>
      <c r="B13825" t="s">
        <v>35</v>
      </c>
      <c r="C13825" s="2">
        <f>HYPERLINK("https://sao.dolgi.msk.ru/account/1404220741/", 1404220741)</f>
        <v>1404220741</v>
      </c>
      <c r="D13825">
        <v>-5652.09</v>
      </c>
    </row>
    <row r="13826" spans="1:4" hidden="1" x14ac:dyDescent="0.25">
      <c r="A13826" t="s">
        <v>719</v>
      </c>
      <c r="B13826" t="s">
        <v>36</v>
      </c>
      <c r="C13826" s="2">
        <f>HYPERLINK("https://sao.dolgi.msk.ru/account/1404220063/", 1404220063)</f>
        <v>1404220063</v>
      </c>
      <c r="D13826">
        <v>-7108.68</v>
      </c>
    </row>
    <row r="13827" spans="1:4" hidden="1" x14ac:dyDescent="0.25">
      <c r="A13827" t="s">
        <v>719</v>
      </c>
      <c r="B13827" t="s">
        <v>37</v>
      </c>
      <c r="C13827" s="2">
        <f>HYPERLINK("https://sao.dolgi.msk.ru/account/1404219089/", 1404219089)</f>
        <v>1404219089</v>
      </c>
      <c r="D13827">
        <v>-4731.13</v>
      </c>
    </row>
    <row r="13828" spans="1:4" x14ac:dyDescent="0.25">
      <c r="A13828" t="s">
        <v>719</v>
      </c>
      <c r="B13828" t="s">
        <v>38</v>
      </c>
      <c r="C13828" s="2">
        <f>HYPERLINK("https://sao.dolgi.msk.ru/account/1404220469/", 1404220469)</f>
        <v>1404220469</v>
      </c>
      <c r="D13828">
        <v>11363.49</v>
      </c>
    </row>
    <row r="13829" spans="1:4" hidden="1" x14ac:dyDescent="0.25">
      <c r="A13829" t="s">
        <v>719</v>
      </c>
      <c r="B13829" t="s">
        <v>39</v>
      </c>
      <c r="C13829" s="2">
        <f>HYPERLINK("https://sao.dolgi.msk.ru/account/1404220696/", 1404220696)</f>
        <v>1404220696</v>
      </c>
      <c r="D13829">
        <v>-3848.6</v>
      </c>
    </row>
    <row r="13830" spans="1:4" hidden="1" x14ac:dyDescent="0.25">
      <c r="A13830" t="s">
        <v>719</v>
      </c>
      <c r="B13830" t="s">
        <v>40</v>
      </c>
      <c r="C13830" s="2">
        <f>HYPERLINK("https://sao.dolgi.msk.ru/account/1404219337/", 1404219337)</f>
        <v>1404219337</v>
      </c>
      <c r="D13830">
        <v>-5018.4399999999996</v>
      </c>
    </row>
    <row r="13831" spans="1:4" hidden="1" x14ac:dyDescent="0.25">
      <c r="A13831" t="s">
        <v>719</v>
      </c>
      <c r="B13831" t="s">
        <v>41</v>
      </c>
      <c r="C13831" s="2">
        <f>HYPERLINK("https://sao.dolgi.msk.ru/account/1404219863/", 1404219863)</f>
        <v>1404219863</v>
      </c>
      <c r="D13831">
        <v>-5714.12</v>
      </c>
    </row>
    <row r="13832" spans="1:4" hidden="1" x14ac:dyDescent="0.25">
      <c r="A13832" t="s">
        <v>719</v>
      </c>
      <c r="B13832" t="s">
        <v>42</v>
      </c>
      <c r="C13832" s="2">
        <f>HYPERLINK("https://sao.dolgi.msk.ru/account/1404220952/", 1404220952)</f>
        <v>1404220952</v>
      </c>
      <c r="D13832">
        <v>-6160.43</v>
      </c>
    </row>
    <row r="13833" spans="1:4" x14ac:dyDescent="0.25">
      <c r="A13833" t="s">
        <v>719</v>
      </c>
      <c r="B13833" t="s">
        <v>43</v>
      </c>
      <c r="C13833" s="2">
        <f>HYPERLINK("https://sao.dolgi.msk.ru/account/1404221103/", 1404221103)</f>
        <v>1404221103</v>
      </c>
      <c r="D13833">
        <v>37821.199999999997</v>
      </c>
    </row>
    <row r="13834" spans="1:4" hidden="1" x14ac:dyDescent="0.25">
      <c r="A13834" t="s">
        <v>719</v>
      </c>
      <c r="B13834" t="s">
        <v>44</v>
      </c>
      <c r="C13834" s="2">
        <f>HYPERLINK("https://sao.dolgi.msk.ru/account/1404221242/", 1404221242)</f>
        <v>1404221242</v>
      </c>
      <c r="D13834">
        <v>0</v>
      </c>
    </row>
    <row r="13835" spans="1:4" hidden="1" x14ac:dyDescent="0.25">
      <c r="A13835" t="s">
        <v>719</v>
      </c>
      <c r="B13835" t="s">
        <v>45</v>
      </c>
      <c r="C13835" s="2">
        <f>HYPERLINK("https://sao.dolgi.msk.ru/account/1404220805/", 1404220805)</f>
        <v>1404220805</v>
      </c>
      <c r="D13835">
        <v>-3330.99</v>
      </c>
    </row>
    <row r="13836" spans="1:4" x14ac:dyDescent="0.25">
      <c r="A13836" t="s">
        <v>719</v>
      </c>
      <c r="B13836" t="s">
        <v>46</v>
      </c>
      <c r="C13836" s="2">
        <f>HYPERLINK("https://sao.dolgi.msk.ru/account/1404221031/", 1404221031)</f>
        <v>1404221031</v>
      </c>
      <c r="D13836">
        <v>6032.77</v>
      </c>
    </row>
    <row r="13837" spans="1:4" x14ac:dyDescent="0.25">
      <c r="A13837" t="s">
        <v>719</v>
      </c>
      <c r="B13837" t="s">
        <v>47</v>
      </c>
      <c r="C13837" s="2">
        <f>HYPERLINK("https://sao.dolgi.msk.ru/account/1404219839/", 1404219839)</f>
        <v>1404219839</v>
      </c>
      <c r="D13837">
        <v>5780.35</v>
      </c>
    </row>
    <row r="13838" spans="1:4" x14ac:dyDescent="0.25">
      <c r="A13838" t="s">
        <v>719</v>
      </c>
      <c r="B13838" t="s">
        <v>48</v>
      </c>
      <c r="C13838" s="2">
        <f>HYPERLINK("https://sao.dolgi.msk.ru/account/1404220258/", 1404220258)</f>
        <v>1404220258</v>
      </c>
      <c r="D13838">
        <v>22271.09</v>
      </c>
    </row>
    <row r="13839" spans="1:4" hidden="1" x14ac:dyDescent="0.25">
      <c r="A13839" t="s">
        <v>719</v>
      </c>
      <c r="B13839" t="s">
        <v>49</v>
      </c>
      <c r="C13839" s="2">
        <f>HYPERLINK("https://sao.dolgi.msk.ru/account/1404219943/", 1404219943)</f>
        <v>1404219943</v>
      </c>
      <c r="D13839">
        <v>-3830.55</v>
      </c>
    </row>
    <row r="13840" spans="1:4" hidden="1" x14ac:dyDescent="0.25">
      <c r="A13840" t="s">
        <v>719</v>
      </c>
      <c r="B13840" t="s">
        <v>50</v>
      </c>
      <c r="C13840" s="2">
        <f>HYPERLINK("https://sao.dolgi.msk.ru/account/1404220127/", 1404220127)</f>
        <v>1404220127</v>
      </c>
      <c r="D13840">
        <v>-3389.66</v>
      </c>
    </row>
    <row r="13841" spans="1:4" x14ac:dyDescent="0.25">
      <c r="A13841" t="s">
        <v>719</v>
      </c>
      <c r="B13841" t="s">
        <v>51</v>
      </c>
      <c r="C13841" s="2">
        <f>HYPERLINK("https://sao.dolgi.msk.ru/account/1404220661/", 1404220661)</f>
        <v>1404220661</v>
      </c>
      <c r="D13841">
        <v>998.84</v>
      </c>
    </row>
    <row r="13842" spans="1:4" hidden="1" x14ac:dyDescent="0.25">
      <c r="A13842" t="s">
        <v>719</v>
      </c>
      <c r="B13842" t="s">
        <v>52</v>
      </c>
      <c r="C13842" s="2">
        <f>HYPERLINK("https://sao.dolgi.msk.ru/account/1404220354/", 1404220354)</f>
        <v>1404220354</v>
      </c>
      <c r="D13842">
        <v>-7275.97</v>
      </c>
    </row>
    <row r="13843" spans="1:4" hidden="1" x14ac:dyDescent="0.25">
      <c r="A13843" t="s">
        <v>719</v>
      </c>
      <c r="B13843" t="s">
        <v>53</v>
      </c>
      <c r="C13843" s="2">
        <f>HYPERLINK("https://sao.dolgi.msk.ru/account/1404221437/", 1404221437)</f>
        <v>1404221437</v>
      </c>
      <c r="D13843">
        <v>-6851.61</v>
      </c>
    </row>
    <row r="13844" spans="1:4" hidden="1" x14ac:dyDescent="0.25">
      <c r="A13844" t="s">
        <v>719</v>
      </c>
      <c r="B13844" t="s">
        <v>54</v>
      </c>
      <c r="C13844" s="2">
        <f>HYPERLINK("https://sao.dolgi.msk.ru/account/1404219695/", 1404219695)</f>
        <v>1404219695</v>
      </c>
      <c r="D13844">
        <v>-5680.09</v>
      </c>
    </row>
    <row r="13845" spans="1:4" hidden="1" x14ac:dyDescent="0.25">
      <c r="A13845" t="s">
        <v>719</v>
      </c>
      <c r="B13845" t="s">
        <v>55</v>
      </c>
      <c r="C13845" s="2">
        <f>HYPERLINK("https://sao.dolgi.msk.ru/account/1404220477/", 1404220477)</f>
        <v>1404220477</v>
      </c>
      <c r="D13845">
        <v>-5263.79</v>
      </c>
    </row>
    <row r="13846" spans="1:4" hidden="1" x14ac:dyDescent="0.25">
      <c r="A13846" t="s">
        <v>719</v>
      </c>
      <c r="B13846" t="s">
        <v>56</v>
      </c>
      <c r="C13846" s="2">
        <f>HYPERLINK("https://sao.dolgi.msk.ru/account/1404220928/", 1404220928)</f>
        <v>1404220928</v>
      </c>
      <c r="D13846">
        <v>0</v>
      </c>
    </row>
    <row r="13847" spans="1:4" hidden="1" x14ac:dyDescent="0.25">
      <c r="A13847" t="s">
        <v>719</v>
      </c>
      <c r="B13847" t="s">
        <v>56</v>
      </c>
      <c r="C13847" s="2">
        <f>HYPERLINK("https://sao.dolgi.msk.ru/account/1404293916/", 1404293916)</f>
        <v>1404293916</v>
      </c>
      <c r="D13847">
        <v>0</v>
      </c>
    </row>
    <row r="13848" spans="1:4" hidden="1" x14ac:dyDescent="0.25">
      <c r="A13848" t="s">
        <v>719</v>
      </c>
      <c r="B13848" t="s">
        <v>57</v>
      </c>
      <c r="C13848" s="2">
        <f>HYPERLINK("https://sao.dolgi.msk.ru/account/1404219118/", 1404219118)</f>
        <v>1404219118</v>
      </c>
      <c r="D13848">
        <v>-7734.23</v>
      </c>
    </row>
    <row r="13849" spans="1:4" x14ac:dyDescent="0.25">
      <c r="A13849" t="s">
        <v>719</v>
      </c>
      <c r="B13849" t="s">
        <v>58</v>
      </c>
      <c r="C13849" s="2">
        <f>HYPERLINK("https://sao.dolgi.msk.ru/account/1404219126/", 1404219126)</f>
        <v>1404219126</v>
      </c>
      <c r="D13849">
        <v>41654.639999999999</v>
      </c>
    </row>
    <row r="13850" spans="1:4" hidden="1" x14ac:dyDescent="0.25">
      <c r="A13850" t="s">
        <v>719</v>
      </c>
      <c r="B13850" t="s">
        <v>59</v>
      </c>
      <c r="C13850" s="2">
        <f>HYPERLINK("https://sao.dolgi.msk.ru/account/1404218801/", 1404218801)</f>
        <v>1404218801</v>
      </c>
      <c r="D13850">
        <v>-5915.16</v>
      </c>
    </row>
    <row r="13851" spans="1:4" hidden="1" x14ac:dyDescent="0.25">
      <c r="A13851" t="s">
        <v>719</v>
      </c>
      <c r="B13851" t="s">
        <v>60</v>
      </c>
      <c r="C13851" s="2">
        <f>HYPERLINK("https://sao.dolgi.msk.ru/account/1404219425/", 1404219425)</f>
        <v>1404219425</v>
      </c>
      <c r="D13851">
        <v>-4659.79</v>
      </c>
    </row>
    <row r="13852" spans="1:4" hidden="1" x14ac:dyDescent="0.25">
      <c r="A13852" t="s">
        <v>719</v>
      </c>
      <c r="B13852" t="s">
        <v>61</v>
      </c>
      <c r="C13852" s="2">
        <f>HYPERLINK("https://sao.dolgi.msk.ru/account/1404218596/", 1404218596)</f>
        <v>1404218596</v>
      </c>
      <c r="D13852">
        <v>0</v>
      </c>
    </row>
    <row r="13853" spans="1:4" hidden="1" x14ac:dyDescent="0.25">
      <c r="A13853" t="s">
        <v>719</v>
      </c>
      <c r="B13853" t="s">
        <v>62</v>
      </c>
      <c r="C13853" s="2">
        <f>HYPERLINK("https://sao.dolgi.msk.ru/account/1404219521/", 1404219521)</f>
        <v>1404219521</v>
      </c>
      <c r="D13853">
        <v>-6605.84</v>
      </c>
    </row>
    <row r="13854" spans="1:4" hidden="1" x14ac:dyDescent="0.25">
      <c r="A13854" t="s">
        <v>719</v>
      </c>
      <c r="B13854" t="s">
        <v>63</v>
      </c>
      <c r="C13854" s="2">
        <f>HYPERLINK("https://sao.dolgi.msk.ru/account/1404221154/", 1404221154)</f>
        <v>1404221154</v>
      </c>
      <c r="D13854">
        <v>0</v>
      </c>
    </row>
    <row r="13855" spans="1:4" hidden="1" x14ac:dyDescent="0.25">
      <c r="A13855" t="s">
        <v>719</v>
      </c>
      <c r="B13855" t="s">
        <v>63</v>
      </c>
      <c r="C13855" s="2">
        <f>HYPERLINK("https://sao.dolgi.msk.ru/account/1404293721/", 1404293721)</f>
        <v>1404293721</v>
      </c>
      <c r="D13855">
        <v>-3184.58</v>
      </c>
    </row>
    <row r="13856" spans="1:4" hidden="1" x14ac:dyDescent="0.25">
      <c r="A13856" t="s">
        <v>719</v>
      </c>
      <c r="B13856" t="s">
        <v>63</v>
      </c>
      <c r="C13856" s="2">
        <f>HYPERLINK("https://sao.dolgi.msk.ru/account/1404293748/", 1404293748)</f>
        <v>1404293748</v>
      </c>
      <c r="D13856">
        <v>-3656.91</v>
      </c>
    </row>
    <row r="13857" spans="1:4" hidden="1" x14ac:dyDescent="0.25">
      <c r="A13857" t="s">
        <v>719</v>
      </c>
      <c r="B13857" t="s">
        <v>64</v>
      </c>
      <c r="C13857" s="2">
        <f>HYPERLINK("https://sao.dolgi.msk.ru/account/1404221429/", 1404221429)</f>
        <v>1404221429</v>
      </c>
      <c r="D13857">
        <v>-5239.82</v>
      </c>
    </row>
    <row r="13858" spans="1:4" hidden="1" x14ac:dyDescent="0.25">
      <c r="A13858" t="s">
        <v>719</v>
      </c>
      <c r="B13858" t="s">
        <v>65</v>
      </c>
      <c r="C13858" s="2">
        <f>HYPERLINK("https://sao.dolgi.msk.ru/account/1404220071/", 1404220071)</f>
        <v>1404220071</v>
      </c>
      <c r="D13858">
        <v>-3399.83</v>
      </c>
    </row>
    <row r="13859" spans="1:4" hidden="1" x14ac:dyDescent="0.25">
      <c r="A13859" t="s">
        <v>719</v>
      </c>
      <c r="B13859" t="s">
        <v>66</v>
      </c>
      <c r="C13859" s="2">
        <f>HYPERLINK("https://sao.dolgi.msk.ru/account/1404221197/", 1404221197)</f>
        <v>1404221197</v>
      </c>
      <c r="D13859">
        <v>-6078.82</v>
      </c>
    </row>
    <row r="13860" spans="1:4" hidden="1" x14ac:dyDescent="0.25">
      <c r="A13860" t="s">
        <v>719</v>
      </c>
      <c r="B13860" t="s">
        <v>67</v>
      </c>
      <c r="C13860" s="2">
        <f>HYPERLINK("https://sao.dolgi.msk.ru/account/1404221269/", 1404221269)</f>
        <v>1404221269</v>
      </c>
      <c r="D13860">
        <v>-7465.6</v>
      </c>
    </row>
    <row r="13861" spans="1:4" x14ac:dyDescent="0.25">
      <c r="A13861" t="s">
        <v>719</v>
      </c>
      <c r="B13861" t="s">
        <v>68</v>
      </c>
      <c r="C13861" s="2">
        <f>HYPERLINK("https://sao.dolgi.msk.ru/account/1404219409/", 1404219409)</f>
        <v>1404219409</v>
      </c>
      <c r="D13861">
        <v>7504.84</v>
      </c>
    </row>
    <row r="13862" spans="1:4" hidden="1" x14ac:dyDescent="0.25">
      <c r="A13862" t="s">
        <v>719</v>
      </c>
      <c r="B13862" t="s">
        <v>69</v>
      </c>
      <c r="C13862" s="2">
        <f>HYPERLINK("https://sao.dolgi.msk.ru/account/1404218676/", 1404218676)</f>
        <v>1404218676</v>
      </c>
      <c r="D13862">
        <v>0</v>
      </c>
    </row>
    <row r="13863" spans="1:4" hidden="1" x14ac:dyDescent="0.25">
      <c r="A13863" t="s">
        <v>719</v>
      </c>
      <c r="B13863" t="s">
        <v>70</v>
      </c>
      <c r="C13863" s="2">
        <f>HYPERLINK("https://sao.dolgi.msk.ru/account/1404220223/", 1404220223)</f>
        <v>1404220223</v>
      </c>
      <c r="D13863">
        <v>-4244.47</v>
      </c>
    </row>
    <row r="13864" spans="1:4" hidden="1" x14ac:dyDescent="0.25">
      <c r="A13864" t="s">
        <v>719</v>
      </c>
      <c r="B13864" t="s">
        <v>71</v>
      </c>
      <c r="C13864" s="2">
        <f>HYPERLINK("https://sao.dolgi.msk.ru/account/1404220653/", 1404220653)</f>
        <v>1404220653</v>
      </c>
      <c r="D13864">
        <v>0</v>
      </c>
    </row>
    <row r="13865" spans="1:4" hidden="1" x14ac:dyDescent="0.25">
      <c r="A13865" t="s">
        <v>719</v>
      </c>
      <c r="B13865" t="s">
        <v>72</v>
      </c>
      <c r="C13865" s="2">
        <f>HYPERLINK("https://sao.dolgi.msk.ru/account/1404219185/", 1404219185)</f>
        <v>1404219185</v>
      </c>
      <c r="D13865">
        <v>-8062.92</v>
      </c>
    </row>
    <row r="13866" spans="1:4" hidden="1" x14ac:dyDescent="0.25">
      <c r="A13866" t="s">
        <v>719</v>
      </c>
      <c r="B13866" t="s">
        <v>73</v>
      </c>
      <c r="C13866" s="2">
        <f>HYPERLINK("https://sao.dolgi.msk.ru/account/1404219978/", 1404219978)</f>
        <v>1404219978</v>
      </c>
      <c r="D13866">
        <v>-6037.08</v>
      </c>
    </row>
    <row r="13867" spans="1:4" hidden="1" x14ac:dyDescent="0.25">
      <c r="A13867" t="s">
        <v>719</v>
      </c>
      <c r="B13867" t="s">
        <v>74</v>
      </c>
      <c r="C13867" s="2">
        <f>HYPERLINK("https://sao.dolgi.msk.ru/account/1404220768/", 1404220768)</f>
        <v>1404220768</v>
      </c>
      <c r="D13867">
        <v>0</v>
      </c>
    </row>
    <row r="13868" spans="1:4" hidden="1" x14ac:dyDescent="0.25">
      <c r="A13868" t="s">
        <v>719</v>
      </c>
      <c r="B13868" t="s">
        <v>75</v>
      </c>
      <c r="C13868" s="2">
        <f>HYPERLINK("https://sao.dolgi.msk.ru/account/1404218713/", 1404218713)</f>
        <v>1404218713</v>
      </c>
      <c r="D13868">
        <v>-3622.4</v>
      </c>
    </row>
    <row r="13869" spans="1:4" hidden="1" x14ac:dyDescent="0.25">
      <c r="A13869" t="s">
        <v>719</v>
      </c>
      <c r="B13869" t="s">
        <v>76</v>
      </c>
      <c r="C13869" s="2">
        <f>HYPERLINK("https://sao.dolgi.msk.ru/account/1404220012/", 1404220012)</f>
        <v>1404220012</v>
      </c>
      <c r="D13869">
        <v>0</v>
      </c>
    </row>
    <row r="13870" spans="1:4" hidden="1" x14ac:dyDescent="0.25">
      <c r="A13870" t="s">
        <v>719</v>
      </c>
      <c r="B13870" t="s">
        <v>77</v>
      </c>
      <c r="C13870" s="2">
        <f>HYPERLINK("https://sao.dolgi.msk.ru/account/1404221074/", 1404221074)</f>
        <v>1404221074</v>
      </c>
      <c r="D13870">
        <v>-6891.59</v>
      </c>
    </row>
    <row r="13871" spans="1:4" hidden="1" x14ac:dyDescent="0.25">
      <c r="A13871" t="s">
        <v>719</v>
      </c>
      <c r="B13871" t="s">
        <v>78</v>
      </c>
      <c r="C13871" s="2">
        <f>HYPERLINK("https://sao.dolgi.msk.ru/account/1404218772/", 1404218772)</f>
        <v>1404218772</v>
      </c>
      <c r="D13871">
        <v>-9128.4699999999993</v>
      </c>
    </row>
    <row r="13872" spans="1:4" x14ac:dyDescent="0.25">
      <c r="A13872" t="s">
        <v>719</v>
      </c>
      <c r="B13872" t="s">
        <v>79</v>
      </c>
      <c r="C13872" s="2">
        <f>HYPERLINK("https://sao.dolgi.msk.ru/account/1404220565/", 1404220565)</f>
        <v>1404220565</v>
      </c>
      <c r="D13872">
        <v>14183.01</v>
      </c>
    </row>
    <row r="13873" spans="1:4" hidden="1" x14ac:dyDescent="0.25">
      <c r="A13873" t="s">
        <v>719</v>
      </c>
      <c r="B13873" t="s">
        <v>80</v>
      </c>
      <c r="C13873" s="2">
        <f>HYPERLINK("https://sao.dolgi.msk.ru/account/1404219679/", 1404219679)</f>
        <v>1404219679</v>
      </c>
      <c r="D13873">
        <v>-6268.82</v>
      </c>
    </row>
    <row r="13874" spans="1:4" hidden="1" x14ac:dyDescent="0.25">
      <c r="A13874" t="s">
        <v>719</v>
      </c>
      <c r="B13874" t="s">
        <v>81</v>
      </c>
      <c r="C13874" s="2">
        <f>HYPERLINK("https://sao.dolgi.msk.ru/account/1404219572/", 1404219572)</f>
        <v>1404219572</v>
      </c>
      <c r="D13874">
        <v>-6295.34</v>
      </c>
    </row>
    <row r="13875" spans="1:4" x14ac:dyDescent="0.25">
      <c r="A13875" t="s">
        <v>719</v>
      </c>
      <c r="B13875" t="s">
        <v>82</v>
      </c>
      <c r="C13875" s="2">
        <f>HYPERLINK("https://sao.dolgi.msk.ru/account/1404218959/", 1404218959)</f>
        <v>1404218959</v>
      </c>
      <c r="D13875">
        <v>2682.1</v>
      </c>
    </row>
    <row r="13876" spans="1:4" hidden="1" x14ac:dyDescent="0.25">
      <c r="A13876" t="s">
        <v>719</v>
      </c>
      <c r="B13876" t="s">
        <v>83</v>
      </c>
      <c r="C13876" s="2">
        <f>HYPERLINK("https://sao.dolgi.msk.ru/account/1404221218/", 1404221218)</f>
        <v>1404221218</v>
      </c>
      <c r="D13876">
        <v>-10370.74</v>
      </c>
    </row>
    <row r="13877" spans="1:4" hidden="1" x14ac:dyDescent="0.25">
      <c r="A13877" t="s">
        <v>719</v>
      </c>
      <c r="B13877" t="s">
        <v>84</v>
      </c>
      <c r="C13877" s="2">
        <f>HYPERLINK("https://sao.dolgi.msk.ru/account/1404220039/", 1404220039)</f>
        <v>1404220039</v>
      </c>
      <c r="D13877">
        <v>-9869.52</v>
      </c>
    </row>
    <row r="13878" spans="1:4" hidden="1" x14ac:dyDescent="0.25">
      <c r="A13878" t="s">
        <v>719</v>
      </c>
      <c r="B13878" t="s">
        <v>85</v>
      </c>
      <c r="C13878" s="2">
        <f>HYPERLINK("https://sao.dolgi.msk.ru/account/1404220629/", 1404220629)</f>
        <v>1404220629</v>
      </c>
      <c r="D13878">
        <v>-5706.61</v>
      </c>
    </row>
    <row r="13879" spans="1:4" hidden="1" x14ac:dyDescent="0.25">
      <c r="A13879" t="s">
        <v>719</v>
      </c>
      <c r="B13879" t="s">
        <v>86</v>
      </c>
      <c r="C13879" s="2">
        <f>HYPERLINK("https://sao.dolgi.msk.ru/account/1404219871/", 1404219871)</f>
        <v>1404219871</v>
      </c>
      <c r="D13879">
        <v>0</v>
      </c>
    </row>
    <row r="13880" spans="1:4" x14ac:dyDescent="0.25">
      <c r="A13880" t="s">
        <v>719</v>
      </c>
      <c r="B13880" t="s">
        <v>87</v>
      </c>
      <c r="C13880" s="2">
        <f>HYPERLINK("https://sao.dolgi.msk.ru/account/1404219601/", 1404219601)</f>
        <v>1404219601</v>
      </c>
      <c r="D13880">
        <v>34466.910000000003</v>
      </c>
    </row>
    <row r="13881" spans="1:4" hidden="1" x14ac:dyDescent="0.25">
      <c r="A13881" t="s">
        <v>719</v>
      </c>
      <c r="B13881" t="s">
        <v>88</v>
      </c>
      <c r="C13881" s="2">
        <f>HYPERLINK("https://sao.dolgi.msk.ru/account/1404218641/", 1404218641)</f>
        <v>1404218641</v>
      </c>
      <c r="D13881">
        <v>-5541.17</v>
      </c>
    </row>
    <row r="13882" spans="1:4" hidden="1" x14ac:dyDescent="0.25">
      <c r="A13882" t="s">
        <v>719</v>
      </c>
      <c r="B13882" t="s">
        <v>89</v>
      </c>
      <c r="C13882" s="2">
        <f>HYPERLINK("https://sao.dolgi.msk.ru/account/1404219265/", 1404219265)</f>
        <v>1404219265</v>
      </c>
      <c r="D13882">
        <v>-2585.52</v>
      </c>
    </row>
    <row r="13883" spans="1:4" hidden="1" x14ac:dyDescent="0.25">
      <c r="A13883" t="s">
        <v>719</v>
      </c>
      <c r="B13883" t="s">
        <v>89</v>
      </c>
      <c r="C13883" s="2">
        <f>HYPERLINK("https://sao.dolgi.msk.ru/account/1404219759/", 1404219759)</f>
        <v>1404219759</v>
      </c>
      <c r="D13883">
        <v>-2667.08</v>
      </c>
    </row>
    <row r="13884" spans="1:4" hidden="1" x14ac:dyDescent="0.25">
      <c r="A13884" t="s">
        <v>719</v>
      </c>
      <c r="B13884" t="s">
        <v>90</v>
      </c>
      <c r="C13884" s="2">
        <f>HYPERLINK("https://sao.dolgi.msk.ru/account/1404221058/", 1404221058)</f>
        <v>1404221058</v>
      </c>
      <c r="D13884">
        <v>-9758.36</v>
      </c>
    </row>
    <row r="13885" spans="1:4" hidden="1" x14ac:dyDescent="0.25">
      <c r="A13885" t="s">
        <v>719</v>
      </c>
      <c r="B13885" t="s">
        <v>91</v>
      </c>
      <c r="C13885" s="2">
        <f>HYPERLINK("https://sao.dolgi.msk.ru/account/1404220581/", 1404220581)</f>
        <v>1404220581</v>
      </c>
      <c r="D13885">
        <v>-7594.62</v>
      </c>
    </row>
    <row r="13886" spans="1:4" hidden="1" x14ac:dyDescent="0.25">
      <c r="A13886" t="s">
        <v>719</v>
      </c>
      <c r="B13886" t="s">
        <v>92</v>
      </c>
      <c r="C13886" s="2">
        <f>HYPERLINK("https://sao.dolgi.msk.ru/account/1404220303/", 1404220303)</f>
        <v>1404220303</v>
      </c>
      <c r="D13886">
        <v>-6343.78</v>
      </c>
    </row>
    <row r="13887" spans="1:4" hidden="1" x14ac:dyDescent="0.25">
      <c r="A13887" t="s">
        <v>719</v>
      </c>
      <c r="B13887" t="s">
        <v>93</v>
      </c>
      <c r="C13887" s="2">
        <f>HYPERLINK("https://sao.dolgi.msk.ru/account/1404219054/", 1404219054)</f>
        <v>1404219054</v>
      </c>
      <c r="D13887">
        <v>-4422.28</v>
      </c>
    </row>
    <row r="13888" spans="1:4" hidden="1" x14ac:dyDescent="0.25">
      <c r="A13888" t="s">
        <v>719</v>
      </c>
      <c r="B13888" t="s">
        <v>93</v>
      </c>
      <c r="C13888" s="2">
        <f>HYPERLINK("https://sao.dolgi.msk.ru/account/1404219433/", 1404219433)</f>
        <v>1404219433</v>
      </c>
      <c r="D13888">
        <v>-2475.8000000000002</v>
      </c>
    </row>
    <row r="13889" spans="1:4" hidden="1" x14ac:dyDescent="0.25">
      <c r="A13889" t="s">
        <v>719</v>
      </c>
      <c r="B13889" t="s">
        <v>94</v>
      </c>
      <c r="C13889" s="2">
        <f>HYPERLINK("https://sao.dolgi.msk.ru/account/1404219046/", 1404219046)</f>
        <v>1404219046</v>
      </c>
      <c r="D13889">
        <v>-6522.63</v>
      </c>
    </row>
    <row r="13890" spans="1:4" hidden="1" x14ac:dyDescent="0.25">
      <c r="A13890" t="s">
        <v>719</v>
      </c>
      <c r="B13890" t="s">
        <v>95</v>
      </c>
      <c r="C13890" s="2">
        <f>HYPERLINK("https://sao.dolgi.msk.ru/account/1404221357/", 1404221357)</f>
        <v>1404221357</v>
      </c>
      <c r="D13890">
        <v>0</v>
      </c>
    </row>
    <row r="13891" spans="1:4" hidden="1" x14ac:dyDescent="0.25">
      <c r="A13891" t="s">
        <v>719</v>
      </c>
      <c r="B13891" t="s">
        <v>96</v>
      </c>
      <c r="C13891" s="2">
        <f>HYPERLINK("https://sao.dolgi.msk.ru/account/1404219134/", 1404219134)</f>
        <v>1404219134</v>
      </c>
      <c r="D13891">
        <v>-7084.94</v>
      </c>
    </row>
    <row r="13892" spans="1:4" hidden="1" x14ac:dyDescent="0.25">
      <c r="A13892" t="s">
        <v>719</v>
      </c>
      <c r="B13892" t="s">
        <v>97</v>
      </c>
      <c r="C13892" s="2">
        <f>HYPERLINK("https://sao.dolgi.msk.ru/account/1404220506/", 1404220506)</f>
        <v>1404220506</v>
      </c>
      <c r="D13892">
        <v>-6492.76</v>
      </c>
    </row>
    <row r="13893" spans="1:4" hidden="1" x14ac:dyDescent="0.25">
      <c r="A13893" t="s">
        <v>719</v>
      </c>
      <c r="B13893" t="s">
        <v>98</v>
      </c>
      <c r="C13893" s="2">
        <f>HYPERLINK("https://sao.dolgi.msk.ru/account/1404220995/", 1404220995)</f>
        <v>1404220995</v>
      </c>
      <c r="D13893">
        <v>-8199.26</v>
      </c>
    </row>
    <row r="13894" spans="1:4" hidden="1" x14ac:dyDescent="0.25">
      <c r="A13894" t="s">
        <v>719</v>
      </c>
      <c r="B13894" t="s">
        <v>99</v>
      </c>
      <c r="C13894" s="2">
        <f>HYPERLINK("https://sao.dolgi.msk.ru/account/1404219273/", 1404219273)</f>
        <v>1404219273</v>
      </c>
      <c r="D13894">
        <v>-3897.22</v>
      </c>
    </row>
    <row r="13895" spans="1:4" hidden="1" x14ac:dyDescent="0.25">
      <c r="A13895" t="s">
        <v>719</v>
      </c>
      <c r="B13895" t="s">
        <v>100</v>
      </c>
      <c r="C13895" s="2">
        <f>HYPERLINK("https://sao.dolgi.msk.ru/account/1404219417/", 1404219417)</f>
        <v>1404219417</v>
      </c>
      <c r="D13895">
        <v>-489.35</v>
      </c>
    </row>
    <row r="13896" spans="1:4" hidden="1" x14ac:dyDescent="0.25">
      <c r="A13896" t="s">
        <v>719</v>
      </c>
      <c r="B13896" t="s">
        <v>101</v>
      </c>
      <c r="C13896" s="2">
        <f>HYPERLINK("https://sao.dolgi.msk.ru/account/1404220522/", 1404220522)</f>
        <v>1404220522</v>
      </c>
      <c r="D13896">
        <v>-5294.74</v>
      </c>
    </row>
    <row r="13897" spans="1:4" hidden="1" x14ac:dyDescent="0.25">
      <c r="A13897" t="s">
        <v>719</v>
      </c>
      <c r="B13897" t="s">
        <v>102</v>
      </c>
      <c r="C13897" s="2">
        <f>HYPERLINK("https://sao.dolgi.msk.ru/account/1404221314/", 1404221314)</f>
        <v>1404221314</v>
      </c>
      <c r="D13897">
        <v>0</v>
      </c>
    </row>
    <row r="13898" spans="1:4" x14ac:dyDescent="0.25">
      <c r="A13898" t="s">
        <v>719</v>
      </c>
      <c r="B13898" t="s">
        <v>103</v>
      </c>
      <c r="C13898" s="2">
        <f>HYPERLINK("https://sao.dolgi.msk.ru/account/1404219986/", 1404219986)</f>
        <v>1404219986</v>
      </c>
      <c r="D13898">
        <v>2853.51</v>
      </c>
    </row>
    <row r="13899" spans="1:4" hidden="1" x14ac:dyDescent="0.25">
      <c r="A13899" t="s">
        <v>719</v>
      </c>
      <c r="B13899" t="s">
        <v>104</v>
      </c>
      <c r="C13899" s="2">
        <f>HYPERLINK("https://sao.dolgi.msk.ru/account/1404219484/", 1404219484)</f>
        <v>1404219484</v>
      </c>
      <c r="D13899">
        <v>-6385.95</v>
      </c>
    </row>
    <row r="13900" spans="1:4" x14ac:dyDescent="0.25">
      <c r="A13900" t="s">
        <v>719</v>
      </c>
      <c r="B13900" t="s">
        <v>105</v>
      </c>
      <c r="C13900" s="2">
        <f>HYPERLINK("https://sao.dolgi.msk.ru/account/1404219214/", 1404219214)</f>
        <v>1404219214</v>
      </c>
      <c r="D13900">
        <v>16683.599999999999</v>
      </c>
    </row>
    <row r="13901" spans="1:4" hidden="1" x14ac:dyDescent="0.25">
      <c r="A13901" t="s">
        <v>719</v>
      </c>
      <c r="B13901" t="s">
        <v>106</v>
      </c>
      <c r="C13901" s="2">
        <f>HYPERLINK("https://sao.dolgi.msk.ru/account/1404218588/", 1404218588)</f>
        <v>1404218588</v>
      </c>
      <c r="D13901">
        <v>0</v>
      </c>
    </row>
    <row r="13902" spans="1:4" hidden="1" x14ac:dyDescent="0.25">
      <c r="A13902" t="s">
        <v>719</v>
      </c>
      <c r="B13902" t="s">
        <v>107</v>
      </c>
      <c r="C13902" s="2">
        <f>HYPERLINK("https://sao.dolgi.msk.ru/account/1404218721/", 1404218721)</f>
        <v>1404218721</v>
      </c>
      <c r="D13902">
        <v>-5729.54</v>
      </c>
    </row>
    <row r="13903" spans="1:4" hidden="1" x14ac:dyDescent="0.25">
      <c r="A13903" t="s">
        <v>719</v>
      </c>
      <c r="B13903" t="s">
        <v>108</v>
      </c>
      <c r="C13903" s="2">
        <f>HYPERLINK("https://sao.dolgi.msk.ru/account/1404219003/", 1404219003)</f>
        <v>1404219003</v>
      </c>
      <c r="D13903">
        <v>-5754.72</v>
      </c>
    </row>
    <row r="13904" spans="1:4" x14ac:dyDescent="0.25">
      <c r="A13904" t="s">
        <v>719</v>
      </c>
      <c r="B13904" t="s">
        <v>109</v>
      </c>
      <c r="C13904" s="2">
        <f>HYPERLINK("https://sao.dolgi.msk.ru/account/1404219775/", 1404219775)</f>
        <v>1404219775</v>
      </c>
      <c r="D13904">
        <v>9502.5</v>
      </c>
    </row>
    <row r="13905" spans="1:4" x14ac:dyDescent="0.25">
      <c r="A13905" t="s">
        <v>719</v>
      </c>
      <c r="B13905" t="s">
        <v>110</v>
      </c>
      <c r="C13905" s="2">
        <f>HYPERLINK("https://sao.dolgi.msk.ru/account/1404220792/", 1404220792)</f>
        <v>1404220792</v>
      </c>
      <c r="D13905">
        <v>11649.11</v>
      </c>
    </row>
    <row r="13906" spans="1:4" x14ac:dyDescent="0.25">
      <c r="A13906" t="s">
        <v>719</v>
      </c>
      <c r="B13906" t="s">
        <v>111</v>
      </c>
      <c r="C13906" s="2">
        <f>HYPERLINK("https://sao.dolgi.msk.ru/account/1404219222/", 1404219222)</f>
        <v>1404219222</v>
      </c>
      <c r="D13906">
        <v>20632.03</v>
      </c>
    </row>
    <row r="13907" spans="1:4" hidden="1" x14ac:dyDescent="0.25">
      <c r="A13907" t="s">
        <v>719</v>
      </c>
      <c r="B13907" t="s">
        <v>112</v>
      </c>
      <c r="C13907" s="2">
        <f>HYPERLINK("https://sao.dolgi.msk.ru/account/1404220186/", 1404220186)</f>
        <v>1404220186</v>
      </c>
      <c r="D13907">
        <v>-7791.74</v>
      </c>
    </row>
    <row r="13908" spans="1:4" hidden="1" x14ac:dyDescent="0.25">
      <c r="A13908" t="s">
        <v>719</v>
      </c>
      <c r="B13908" t="s">
        <v>113</v>
      </c>
      <c r="C13908" s="2">
        <f>HYPERLINK("https://sao.dolgi.msk.ru/account/1404219505/", 1404219505)</f>
        <v>1404219505</v>
      </c>
      <c r="D13908">
        <v>0</v>
      </c>
    </row>
    <row r="13909" spans="1:4" hidden="1" x14ac:dyDescent="0.25">
      <c r="A13909" t="s">
        <v>719</v>
      </c>
      <c r="B13909" t="s">
        <v>114</v>
      </c>
      <c r="C13909" s="2">
        <f>HYPERLINK("https://sao.dolgi.msk.ru/account/1404219898/", 1404219898)</f>
        <v>1404219898</v>
      </c>
      <c r="D13909">
        <v>-4794.7299999999996</v>
      </c>
    </row>
    <row r="13910" spans="1:4" hidden="1" x14ac:dyDescent="0.25">
      <c r="A13910" t="s">
        <v>719</v>
      </c>
      <c r="B13910" t="s">
        <v>115</v>
      </c>
      <c r="C13910" s="2">
        <f>HYPERLINK("https://sao.dolgi.msk.ru/account/1404218895/", 1404218895)</f>
        <v>1404218895</v>
      </c>
      <c r="D13910">
        <v>-2543.7600000000002</v>
      </c>
    </row>
    <row r="13911" spans="1:4" hidden="1" x14ac:dyDescent="0.25">
      <c r="A13911" t="s">
        <v>719</v>
      </c>
      <c r="B13911" t="s">
        <v>116</v>
      </c>
      <c r="C13911" s="2">
        <f>HYPERLINK("https://sao.dolgi.msk.ru/account/1404219329/", 1404219329)</f>
        <v>1404219329</v>
      </c>
      <c r="D13911">
        <v>-5037.96</v>
      </c>
    </row>
    <row r="13912" spans="1:4" hidden="1" x14ac:dyDescent="0.25">
      <c r="A13912" t="s">
        <v>719</v>
      </c>
      <c r="B13912" t="s">
        <v>117</v>
      </c>
      <c r="C13912" s="2">
        <f>HYPERLINK("https://sao.dolgi.msk.ru/account/1404221226/", 1404221226)</f>
        <v>1404221226</v>
      </c>
      <c r="D13912">
        <v>0</v>
      </c>
    </row>
    <row r="13913" spans="1:4" hidden="1" x14ac:dyDescent="0.25">
      <c r="A13913" t="s">
        <v>719</v>
      </c>
      <c r="B13913" t="s">
        <v>118</v>
      </c>
      <c r="C13913" s="2">
        <f>HYPERLINK("https://sao.dolgi.msk.ru/account/1404220485/", 1404220485)</f>
        <v>1404220485</v>
      </c>
      <c r="D13913">
        <v>-3143.52</v>
      </c>
    </row>
    <row r="13914" spans="1:4" hidden="1" x14ac:dyDescent="0.25">
      <c r="A13914" t="s">
        <v>719</v>
      </c>
      <c r="B13914" t="s">
        <v>119</v>
      </c>
      <c r="C13914" s="2">
        <f>HYPERLINK("https://sao.dolgi.msk.ru/account/1404218705/", 1404218705)</f>
        <v>1404218705</v>
      </c>
      <c r="D13914">
        <v>-6654.36</v>
      </c>
    </row>
    <row r="13915" spans="1:4" hidden="1" x14ac:dyDescent="0.25">
      <c r="A13915" t="s">
        <v>719</v>
      </c>
      <c r="B13915" t="s">
        <v>120</v>
      </c>
      <c r="C13915" s="2">
        <f>HYPERLINK("https://sao.dolgi.msk.ru/account/1404220178/", 1404220178)</f>
        <v>1404220178</v>
      </c>
      <c r="D13915">
        <v>0</v>
      </c>
    </row>
    <row r="13916" spans="1:4" hidden="1" x14ac:dyDescent="0.25">
      <c r="A13916" t="s">
        <v>719</v>
      </c>
      <c r="B13916" t="s">
        <v>121</v>
      </c>
      <c r="C13916" s="2">
        <f>HYPERLINK("https://sao.dolgi.msk.ru/account/1404221066/", 1404221066)</f>
        <v>1404221066</v>
      </c>
      <c r="D13916">
        <v>-6762.09</v>
      </c>
    </row>
    <row r="13917" spans="1:4" hidden="1" x14ac:dyDescent="0.25">
      <c r="A13917" t="s">
        <v>719</v>
      </c>
      <c r="B13917" t="s">
        <v>122</v>
      </c>
      <c r="C13917" s="2">
        <f>HYPERLINK("https://sao.dolgi.msk.ru/account/1404219142/", 1404219142)</f>
        <v>1404219142</v>
      </c>
      <c r="D13917">
        <v>-7251.84</v>
      </c>
    </row>
    <row r="13918" spans="1:4" hidden="1" x14ac:dyDescent="0.25">
      <c r="A13918" t="s">
        <v>719</v>
      </c>
      <c r="B13918" t="s">
        <v>123</v>
      </c>
      <c r="C13918" s="2">
        <f>HYPERLINK("https://sao.dolgi.msk.ru/account/1404218836/", 1404218836)</f>
        <v>1404218836</v>
      </c>
      <c r="D13918">
        <v>0</v>
      </c>
    </row>
    <row r="13919" spans="1:4" x14ac:dyDescent="0.25">
      <c r="A13919" t="s">
        <v>719</v>
      </c>
      <c r="B13919" t="s">
        <v>124</v>
      </c>
      <c r="C13919" s="2">
        <f>HYPERLINK("https://sao.dolgi.msk.ru/account/1404219855/", 1404219855)</f>
        <v>1404219855</v>
      </c>
      <c r="D13919">
        <v>25980.92</v>
      </c>
    </row>
    <row r="13920" spans="1:4" hidden="1" x14ac:dyDescent="0.25">
      <c r="A13920" t="s">
        <v>719</v>
      </c>
      <c r="B13920" t="s">
        <v>125</v>
      </c>
      <c r="C13920" s="2">
        <f>HYPERLINK("https://sao.dolgi.msk.ru/account/1404220346/", 1404220346)</f>
        <v>1404220346</v>
      </c>
      <c r="D13920">
        <v>-8327.77</v>
      </c>
    </row>
    <row r="13921" spans="1:4" hidden="1" x14ac:dyDescent="0.25">
      <c r="A13921" t="s">
        <v>719</v>
      </c>
      <c r="B13921" t="s">
        <v>126</v>
      </c>
      <c r="C13921" s="2">
        <f>HYPERLINK("https://sao.dolgi.msk.ru/account/1404218756/", 1404218756)</f>
        <v>1404218756</v>
      </c>
      <c r="D13921">
        <v>-5643.28</v>
      </c>
    </row>
    <row r="13922" spans="1:4" hidden="1" x14ac:dyDescent="0.25">
      <c r="A13922" t="s">
        <v>719</v>
      </c>
      <c r="B13922" t="s">
        <v>127</v>
      </c>
      <c r="C13922" s="2">
        <f>HYPERLINK("https://sao.dolgi.msk.ru/account/1404219468/", 1404219468)</f>
        <v>1404219468</v>
      </c>
      <c r="D13922">
        <v>0</v>
      </c>
    </row>
    <row r="13923" spans="1:4" x14ac:dyDescent="0.25">
      <c r="A13923" t="s">
        <v>719</v>
      </c>
      <c r="B13923" t="s">
        <v>128</v>
      </c>
      <c r="C13923" s="2">
        <f>HYPERLINK("https://sao.dolgi.msk.ru/account/1404220207/", 1404220207)</f>
        <v>1404220207</v>
      </c>
      <c r="D13923">
        <v>561.80999999999995</v>
      </c>
    </row>
    <row r="13924" spans="1:4" hidden="1" x14ac:dyDescent="0.25">
      <c r="A13924" t="s">
        <v>719</v>
      </c>
      <c r="B13924" t="s">
        <v>129</v>
      </c>
      <c r="C13924" s="2">
        <f>HYPERLINK("https://sao.dolgi.msk.ru/account/1404219206/", 1404219206)</f>
        <v>1404219206</v>
      </c>
      <c r="D13924">
        <v>-2882.41</v>
      </c>
    </row>
    <row r="13925" spans="1:4" x14ac:dyDescent="0.25">
      <c r="A13925" t="s">
        <v>719</v>
      </c>
      <c r="B13925" t="s">
        <v>130</v>
      </c>
      <c r="C13925" s="2">
        <f>HYPERLINK("https://sao.dolgi.msk.ru/account/1404220864/", 1404220864)</f>
        <v>1404220864</v>
      </c>
      <c r="D13925">
        <v>31977.37</v>
      </c>
    </row>
    <row r="13926" spans="1:4" hidden="1" x14ac:dyDescent="0.25">
      <c r="A13926" t="s">
        <v>719</v>
      </c>
      <c r="B13926" t="s">
        <v>131</v>
      </c>
      <c r="C13926" s="2">
        <f>HYPERLINK("https://sao.dolgi.msk.ru/account/1404220848/", 1404220848)</f>
        <v>1404220848</v>
      </c>
      <c r="D13926">
        <v>0</v>
      </c>
    </row>
    <row r="13927" spans="1:4" hidden="1" x14ac:dyDescent="0.25">
      <c r="A13927" t="s">
        <v>719</v>
      </c>
      <c r="B13927" t="s">
        <v>132</v>
      </c>
      <c r="C13927" s="2">
        <f>HYPERLINK("https://sao.dolgi.msk.ru/account/1404219388/", 1404219388)</f>
        <v>1404219388</v>
      </c>
      <c r="D13927">
        <v>0</v>
      </c>
    </row>
    <row r="13928" spans="1:4" hidden="1" x14ac:dyDescent="0.25">
      <c r="A13928" t="s">
        <v>719</v>
      </c>
      <c r="B13928" t="s">
        <v>133</v>
      </c>
      <c r="C13928" s="2">
        <f>HYPERLINK("https://sao.dolgi.msk.ru/account/1404218879/", 1404218879)</f>
        <v>1404218879</v>
      </c>
      <c r="D13928">
        <v>-5487.44</v>
      </c>
    </row>
    <row r="13929" spans="1:4" x14ac:dyDescent="0.25">
      <c r="A13929" t="s">
        <v>719</v>
      </c>
      <c r="B13929" t="s">
        <v>134</v>
      </c>
      <c r="C13929" s="2">
        <f>HYPERLINK("https://sao.dolgi.msk.ru/account/1404220776/", 1404220776)</f>
        <v>1404220776</v>
      </c>
      <c r="D13929">
        <v>5923.64</v>
      </c>
    </row>
    <row r="13930" spans="1:4" hidden="1" x14ac:dyDescent="0.25">
      <c r="A13930" t="s">
        <v>719</v>
      </c>
      <c r="B13930" t="s">
        <v>135</v>
      </c>
      <c r="C13930" s="2">
        <f>HYPERLINK("https://sao.dolgi.msk.ru/account/1404219281/", 1404219281)</f>
        <v>1404219281</v>
      </c>
      <c r="D13930">
        <v>-4624.6400000000003</v>
      </c>
    </row>
    <row r="13931" spans="1:4" hidden="1" x14ac:dyDescent="0.25">
      <c r="A13931" t="s">
        <v>719</v>
      </c>
      <c r="B13931" t="s">
        <v>136</v>
      </c>
      <c r="C13931" s="2">
        <f>HYPERLINK("https://sao.dolgi.msk.ru/account/1404220901/", 1404220901)</f>
        <v>1404220901</v>
      </c>
      <c r="D13931">
        <v>0</v>
      </c>
    </row>
    <row r="13932" spans="1:4" hidden="1" x14ac:dyDescent="0.25">
      <c r="A13932" t="s">
        <v>719</v>
      </c>
      <c r="B13932" t="s">
        <v>137</v>
      </c>
      <c r="C13932" s="2">
        <f>HYPERLINK("https://sao.dolgi.msk.ru/account/1404220362/", 1404220362)</f>
        <v>1404220362</v>
      </c>
      <c r="D13932">
        <v>-4034.06</v>
      </c>
    </row>
    <row r="13933" spans="1:4" hidden="1" x14ac:dyDescent="0.25">
      <c r="A13933" t="s">
        <v>719</v>
      </c>
      <c r="B13933" t="s">
        <v>138</v>
      </c>
      <c r="C13933" s="2">
        <f>HYPERLINK("https://sao.dolgi.msk.ru/account/1404219345/", 1404219345)</f>
        <v>1404219345</v>
      </c>
      <c r="D13933">
        <v>0</v>
      </c>
    </row>
    <row r="13934" spans="1:4" x14ac:dyDescent="0.25">
      <c r="A13934" t="s">
        <v>719</v>
      </c>
      <c r="B13934" t="s">
        <v>139</v>
      </c>
      <c r="C13934" s="2">
        <f>HYPERLINK("https://sao.dolgi.msk.ru/account/1404221445/", 1404221445)</f>
        <v>1404221445</v>
      </c>
      <c r="D13934">
        <v>13049.23</v>
      </c>
    </row>
    <row r="13935" spans="1:4" hidden="1" x14ac:dyDescent="0.25">
      <c r="A13935" t="s">
        <v>719</v>
      </c>
      <c r="B13935" t="s">
        <v>140</v>
      </c>
      <c r="C13935" s="2">
        <f>HYPERLINK("https://sao.dolgi.msk.ru/account/1404218887/", 1404218887)</f>
        <v>1404218887</v>
      </c>
      <c r="D13935">
        <v>-9708.85</v>
      </c>
    </row>
    <row r="13936" spans="1:4" hidden="1" x14ac:dyDescent="0.25">
      <c r="A13936" t="s">
        <v>719</v>
      </c>
      <c r="B13936" t="s">
        <v>141</v>
      </c>
      <c r="C13936" s="2">
        <f>HYPERLINK("https://sao.dolgi.msk.ru/account/1404219724/", 1404219724)</f>
        <v>1404219724</v>
      </c>
      <c r="D13936">
        <v>-2578.96</v>
      </c>
    </row>
    <row r="13937" spans="1:4" x14ac:dyDescent="0.25">
      <c r="A13937" t="s">
        <v>719</v>
      </c>
      <c r="B13937" t="s">
        <v>142</v>
      </c>
      <c r="C13937" s="2">
        <f>HYPERLINK("https://sao.dolgi.msk.ru/account/1404218529/", 1404218529)</f>
        <v>1404218529</v>
      </c>
      <c r="D13937">
        <v>10645.56</v>
      </c>
    </row>
    <row r="13938" spans="1:4" hidden="1" x14ac:dyDescent="0.25">
      <c r="A13938" t="s">
        <v>719</v>
      </c>
      <c r="B13938" t="s">
        <v>143</v>
      </c>
      <c r="C13938" s="2">
        <f>HYPERLINK("https://sao.dolgi.msk.ru/account/1404219687/", 1404219687)</f>
        <v>1404219687</v>
      </c>
      <c r="D13938">
        <v>-4579.74</v>
      </c>
    </row>
    <row r="13939" spans="1:4" hidden="1" x14ac:dyDescent="0.25">
      <c r="A13939" t="s">
        <v>719</v>
      </c>
      <c r="B13939" t="s">
        <v>144</v>
      </c>
      <c r="C13939" s="2">
        <f>HYPERLINK("https://sao.dolgi.msk.ru/account/1404220397/", 1404220397)</f>
        <v>1404220397</v>
      </c>
      <c r="D13939">
        <v>0</v>
      </c>
    </row>
    <row r="13940" spans="1:4" x14ac:dyDescent="0.25">
      <c r="A13940" t="s">
        <v>719</v>
      </c>
      <c r="B13940" t="s">
        <v>145</v>
      </c>
      <c r="C13940" s="2">
        <f>HYPERLINK("https://sao.dolgi.msk.ru/account/1404218967/", 1404218967)</f>
        <v>1404218967</v>
      </c>
      <c r="D13940">
        <v>9085.0300000000007</v>
      </c>
    </row>
    <row r="13941" spans="1:4" hidden="1" x14ac:dyDescent="0.25">
      <c r="A13941" t="s">
        <v>719</v>
      </c>
      <c r="B13941" t="s">
        <v>146</v>
      </c>
      <c r="C13941" s="2">
        <f>HYPERLINK("https://sao.dolgi.msk.ru/account/1404220872/", 1404220872)</f>
        <v>1404220872</v>
      </c>
      <c r="D13941">
        <v>-2988.32</v>
      </c>
    </row>
    <row r="13942" spans="1:4" hidden="1" x14ac:dyDescent="0.25">
      <c r="A13942" t="s">
        <v>719</v>
      </c>
      <c r="B13942" t="s">
        <v>146</v>
      </c>
      <c r="C13942" s="2">
        <f>HYPERLINK("https://sao.dolgi.msk.ru/account/1404221381/", 1404221381)</f>
        <v>1404221381</v>
      </c>
      <c r="D13942">
        <v>-1242.1300000000001</v>
      </c>
    </row>
    <row r="13943" spans="1:4" hidden="1" x14ac:dyDescent="0.25">
      <c r="A13943" t="s">
        <v>719</v>
      </c>
      <c r="B13943" t="s">
        <v>147</v>
      </c>
      <c r="C13943" s="2">
        <f>HYPERLINK("https://sao.dolgi.msk.ru/account/1404221023/", 1404221023)</f>
        <v>1404221023</v>
      </c>
      <c r="D13943">
        <v>-8021.85</v>
      </c>
    </row>
    <row r="13944" spans="1:4" hidden="1" x14ac:dyDescent="0.25">
      <c r="A13944" t="s">
        <v>719</v>
      </c>
      <c r="B13944" t="s">
        <v>148</v>
      </c>
      <c r="C13944" s="2">
        <f>HYPERLINK("https://sao.dolgi.msk.ru/account/1404221162/", 1404221162)</f>
        <v>1404221162</v>
      </c>
      <c r="D13944">
        <v>-4218.08</v>
      </c>
    </row>
    <row r="13945" spans="1:4" hidden="1" x14ac:dyDescent="0.25">
      <c r="A13945" t="s">
        <v>719</v>
      </c>
      <c r="B13945" t="s">
        <v>149</v>
      </c>
      <c r="C13945" s="2">
        <f>HYPERLINK("https://sao.dolgi.msk.ru/account/1404219994/", 1404219994)</f>
        <v>1404219994</v>
      </c>
      <c r="D13945">
        <v>-5251.91</v>
      </c>
    </row>
    <row r="13946" spans="1:4" hidden="1" x14ac:dyDescent="0.25">
      <c r="A13946" t="s">
        <v>719</v>
      </c>
      <c r="B13946" t="s">
        <v>150</v>
      </c>
      <c r="C13946" s="2">
        <f>HYPERLINK("https://sao.dolgi.msk.ru/account/1404220549/", 1404220549)</f>
        <v>1404220549</v>
      </c>
      <c r="D13946">
        <v>-5057.3</v>
      </c>
    </row>
    <row r="13947" spans="1:4" hidden="1" x14ac:dyDescent="0.25">
      <c r="A13947" t="s">
        <v>719</v>
      </c>
      <c r="B13947" t="s">
        <v>151</v>
      </c>
      <c r="C13947" s="2">
        <f>HYPERLINK("https://sao.dolgi.msk.ru/account/1404220338/", 1404220338)</f>
        <v>1404220338</v>
      </c>
      <c r="D13947">
        <v>-4502.67</v>
      </c>
    </row>
    <row r="13948" spans="1:4" hidden="1" x14ac:dyDescent="0.25">
      <c r="A13948" t="s">
        <v>719</v>
      </c>
      <c r="B13948" t="s">
        <v>152</v>
      </c>
      <c r="C13948" s="2">
        <f>HYPERLINK("https://sao.dolgi.msk.ru/account/1404220573/", 1404220573)</f>
        <v>1404220573</v>
      </c>
      <c r="D13948">
        <v>-3904.08</v>
      </c>
    </row>
    <row r="13949" spans="1:4" hidden="1" x14ac:dyDescent="0.25">
      <c r="A13949" t="s">
        <v>719</v>
      </c>
      <c r="B13949" t="s">
        <v>153</v>
      </c>
      <c r="C13949" s="2">
        <f>HYPERLINK("https://sao.dolgi.msk.ru/account/1404218924/", 1404218924)</f>
        <v>1404218924</v>
      </c>
      <c r="D13949">
        <v>0</v>
      </c>
    </row>
    <row r="13950" spans="1:4" hidden="1" x14ac:dyDescent="0.25">
      <c r="A13950" t="s">
        <v>719</v>
      </c>
      <c r="B13950" t="s">
        <v>154</v>
      </c>
      <c r="C13950" s="2">
        <f>HYPERLINK("https://sao.dolgi.msk.ru/account/1404220055/", 1404220055)</f>
        <v>1404220055</v>
      </c>
      <c r="D13950">
        <v>-5606.69</v>
      </c>
    </row>
    <row r="13951" spans="1:4" hidden="1" x14ac:dyDescent="0.25">
      <c r="A13951" t="s">
        <v>719</v>
      </c>
      <c r="B13951" t="s">
        <v>155</v>
      </c>
      <c r="C13951" s="2">
        <f>HYPERLINK("https://sao.dolgi.msk.ru/account/1404219249/", 1404219249)</f>
        <v>1404219249</v>
      </c>
      <c r="D13951">
        <v>0</v>
      </c>
    </row>
    <row r="13952" spans="1:4" hidden="1" x14ac:dyDescent="0.25">
      <c r="A13952" t="s">
        <v>719</v>
      </c>
      <c r="B13952" t="s">
        <v>156</v>
      </c>
      <c r="C13952" s="2">
        <f>HYPERLINK("https://sao.dolgi.msk.ru/account/1404219564/", 1404219564)</f>
        <v>1404219564</v>
      </c>
      <c r="D13952">
        <v>-4989.59</v>
      </c>
    </row>
    <row r="13953" spans="1:4" hidden="1" x14ac:dyDescent="0.25">
      <c r="A13953" t="s">
        <v>719</v>
      </c>
      <c r="B13953" t="s">
        <v>157</v>
      </c>
      <c r="C13953" s="2">
        <f>HYPERLINK("https://sao.dolgi.msk.ru/account/1404219599/", 1404219599)</f>
        <v>1404219599</v>
      </c>
      <c r="D13953">
        <v>0</v>
      </c>
    </row>
    <row r="13954" spans="1:4" hidden="1" x14ac:dyDescent="0.25">
      <c r="A13954" t="s">
        <v>719</v>
      </c>
      <c r="B13954" t="s">
        <v>158</v>
      </c>
      <c r="C13954" s="2">
        <f>HYPERLINK("https://sao.dolgi.msk.ru/account/1404219257/", 1404219257)</f>
        <v>1404219257</v>
      </c>
      <c r="D13954">
        <v>-3631.49</v>
      </c>
    </row>
    <row r="13955" spans="1:4" x14ac:dyDescent="0.25">
      <c r="A13955" t="s">
        <v>719</v>
      </c>
      <c r="B13955" t="s">
        <v>159</v>
      </c>
      <c r="C13955" s="2">
        <f>HYPERLINK("https://sao.dolgi.msk.ru/account/1404220274/", 1404220274)</f>
        <v>1404220274</v>
      </c>
      <c r="D13955">
        <v>12444.24</v>
      </c>
    </row>
    <row r="13956" spans="1:4" hidden="1" x14ac:dyDescent="0.25">
      <c r="A13956" t="s">
        <v>719</v>
      </c>
      <c r="B13956" t="s">
        <v>159</v>
      </c>
      <c r="C13956" s="2">
        <f>HYPERLINK("https://sao.dolgi.msk.ru/account/1404293879/", 1404293879)</f>
        <v>1404293879</v>
      </c>
      <c r="D13956">
        <v>0</v>
      </c>
    </row>
    <row r="13957" spans="1:4" x14ac:dyDescent="0.25">
      <c r="A13957" t="s">
        <v>719</v>
      </c>
      <c r="B13957" t="s">
        <v>160</v>
      </c>
      <c r="C13957" s="2">
        <f>HYPERLINK("https://sao.dolgi.msk.ru/account/1404221285/", 1404221285)</f>
        <v>1404221285</v>
      </c>
      <c r="D13957">
        <v>43916.66</v>
      </c>
    </row>
    <row r="13958" spans="1:4" x14ac:dyDescent="0.25">
      <c r="A13958" t="s">
        <v>719</v>
      </c>
      <c r="B13958" t="s">
        <v>161</v>
      </c>
      <c r="C13958" s="2">
        <f>HYPERLINK("https://sao.dolgi.msk.ru/account/1404219476/", 1404219476)</f>
        <v>1404219476</v>
      </c>
      <c r="D13958">
        <v>23364.34</v>
      </c>
    </row>
    <row r="13959" spans="1:4" hidden="1" x14ac:dyDescent="0.25">
      <c r="A13959" t="s">
        <v>719</v>
      </c>
      <c r="B13959" t="s">
        <v>162</v>
      </c>
      <c r="C13959" s="2">
        <f>HYPERLINK("https://sao.dolgi.msk.ru/account/1404218668/", 1404218668)</f>
        <v>1404218668</v>
      </c>
      <c r="D13959">
        <v>-508.43</v>
      </c>
    </row>
    <row r="13960" spans="1:4" hidden="1" x14ac:dyDescent="0.25">
      <c r="A13960" t="s">
        <v>719</v>
      </c>
      <c r="B13960" t="s">
        <v>163</v>
      </c>
      <c r="C13960" s="2">
        <f>HYPERLINK("https://sao.dolgi.msk.ru/account/1404221365/", 1404221365)</f>
        <v>1404221365</v>
      </c>
      <c r="D13960">
        <v>-5529.8</v>
      </c>
    </row>
    <row r="13961" spans="1:4" hidden="1" x14ac:dyDescent="0.25">
      <c r="A13961" t="s">
        <v>719</v>
      </c>
      <c r="B13961" t="s">
        <v>164</v>
      </c>
      <c r="C13961" s="2">
        <f>HYPERLINK("https://sao.dolgi.msk.ru/account/1404219791/", 1404219791)</f>
        <v>1404219791</v>
      </c>
      <c r="D13961">
        <v>0</v>
      </c>
    </row>
    <row r="13962" spans="1:4" hidden="1" x14ac:dyDescent="0.25">
      <c r="A13962" t="s">
        <v>719</v>
      </c>
      <c r="B13962" t="s">
        <v>165</v>
      </c>
      <c r="C13962" s="2">
        <f>HYPERLINK("https://sao.dolgi.msk.ru/account/1404221082/", 1404221082)</f>
        <v>1404221082</v>
      </c>
      <c r="D13962">
        <v>-2481.46</v>
      </c>
    </row>
    <row r="13963" spans="1:4" hidden="1" x14ac:dyDescent="0.25">
      <c r="A13963" t="s">
        <v>719</v>
      </c>
      <c r="B13963" t="s">
        <v>166</v>
      </c>
      <c r="C13963" s="2">
        <f>HYPERLINK("https://sao.dolgi.msk.ru/account/1404221277/", 1404221277)</f>
        <v>1404221277</v>
      </c>
      <c r="D13963">
        <v>-5108.0200000000004</v>
      </c>
    </row>
    <row r="13964" spans="1:4" hidden="1" x14ac:dyDescent="0.25">
      <c r="A13964" t="s">
        <v>719</v>
      </c>
      <c r="B13964" t="s">
        <v>167</v>
      </c>
      <c r="C13964" s="2">
        <f>HYPERLINK("https://sao.dolgi.msk.ru/account/1404219644/", 1404219644)</f>
        <v>1404219644</v>
      </c>
      <c r="D13964">
        <v>0</v>
      </c>
    </row>
    <row r="13965" spans="1:4" hidden="1" x14ac:dyDescent="0.25">
      <c r="A13965" t="s">
        <v>719</v>
      </c>
      <c r="B13965" t="s">
        <v>168</v>
      </c>
      <c r="C13965" s="2">
        <f>HYPERLINK("https://sao.dolgi.msk.ru/account/1404220442/", 1404220442)</f>
        <v>1404220442</v>
      </c>
      <c r="D13965">
        <v>-8998.52</v>
      </c>
    </row>
    <row r="13966" spans="1:4" hidden="1" x14ac:dyDescent="0.25">
      <c r="A13966" t="s">
        <v>719</v>
      </c>
      <c r="B13966" t="s">
        <v>169</v>
      </c>
      <c r="C13966" s="2">
        <f>HYPERLINK("https://sao.dolgi.msk.ru/account/1404220266/", 1404220266)</f>
        <v>1404220266</v>
      </c>
      <c r="D13966">
        <v>0</v>
      </c>
    </row>
    <row r="13967" spans="1:4" hidden="1" x14ac:dyDescent="0.25">
      <c r="A13967" t="s">
        <v>719</v>
      </c>
      <c r="B13967" t="s">
        <v>170</v>
      </c>
      <c r="C13967" s="2">
        <f>HYPERLINK("https://sao.dolgi.msk.ru/account/1404218844/", 1404218844)</f>
        <v>1404218844</v>
      </c>
      <c r="D13967">
        <v>0</v>
      </c>
    </row>
    <row r="13968" spans="1:4" hidden="1" x14ac:dyDescent="0.25">
      <c r="A13968" t="s">
        <v>719</v>
      </c>
      <c r="B13968" t="s">
        <v>171</v>
      </c>
      <c r="C13968" s="2">
        <f>HYPERLINK("https://sao.dolgi.msk.ru/account/1404221111/", 1404221111)</f>
        <v>1404221111</v>
      </c>
      <c r="D13968">
        <v>0</v>
      </c>
    </row>
    <row r="13969" spans="1:4" x14ac:dyDescent="0.25">
      <c r="A13969" t="s">
        <v>719</v>
      </c>
      <c r="B13969" t="s">
        <v>172</v>
      </c>
      <c r="C13969" s="2">
        <f>HYPERLINK("https://sao.dolgi.msk.ru/account/1404219513/", 1404219513)</f>
        <v>1404219513</v>
      </c>
      <c r="D13969">
        <v>7998.13</v>
      </c>
    </row>
    <row r="13970" spans="1:4" hidden="1" x14ac:dyDescent="0.25">
      <c r="A13970" t="s">
        <v>719</v>
      </c>
      <c r="B13970" t="s">
        <v>173</v>
      </c>
      <c r="C13970" s="2">
        <f>HYPERLINK("https://sao.dolgi.msk.ru/account/1404221461/", 1404221461)</f>
        <v>1404221461</v>
      </c>
      <c r="D13970">
        <v>-4213.1499999999996</v>
      </c>
    </row>
    <row r="13971" spans="1:4" x14ac:dyDescent="0.25">
      <c r="A13971" t="s">
        <v>719</v>
      </c>
      <c r="B13971" t="s">
        <v>174</v>
      </c>
      <c r="C13971" s="2">
        <f>HYPERLINK("https://sao.dolgi.msk.ru/account/1404220514/", 1404220514)</f>
        <v>1404220514</v>
      </c>
      <c r="D13971">
        <v>17119.52</v>
      </c>
    </row>
    <row r="13972" spans="1:4" x14ac:dyDescent="0.25">
      <c r="A13972" t="s">
        <v>719</v>
      </c>
      <c r="B13972" t="s">
        <v>175</v>
      </c>
      <c r="C13972" s="2">
        <f>HYPERLINK("https://sao.dolgi.msk.ru/account/1404220418/", 1404220418)</f>
        <v>1404220418</v>
      </c>
      <c r="D13972">
        <v>42165.2</v>
      </c>
    </row>
    <row r="13973" spans="1:4" hidden="1" x14ac:dyDescent="0.25">
      <c r="A13973" t="s">
        <v>719</v>
      </c>
      <c r="B13973" t="s">
        <v>176</v>
      </c>
      <c r="C13973" s="2">
        <f>HYPERLINK("https://sao.dolgi.msk.ru/account/1404219556/", 1404219556)</f>
        <v>1404219556</v>
      </c>
      <c r="D13973">
        <v>-2573.27</v>
      </c>
    </row>
    <row r="13974" spans="1:4" hidden="1" x14ac:dyDescent="0.25">
      <c r="A13974" t="s">
        <v>719</v>
      </c>
      <c r="B13974" t="s">
        <v>177</v>
      </c>
      <c r="C13974" s="2">
        <f>HYPERLINK("https://sao.dolgi.msk.ru/account/1404220813/", 1404220813)</f>
        <v>1404220813</v>
      </c>
      <c r="D13974">
        <v>-4973.74</v>
      </c>
    </row>
    <row r="13975" spans="1:4" hidden="1" x14ac:dyDescent="0.25">
      <c r="A13975" t="s">
        <v>719</v>
      </c>
      <c r="B13975" t="s">
        <v>178</v>
      </c>
      <c r="C13975" s="2">
        <f>HYPERLINK("https://sao.dolgi.msk.ru/account/1404219812/", 1404219812)</f>
        <v>1404219812</v>
      </c>
      <c r="D13975">
        <v>-4215.76</v>
      </c>
    </row>
    <row r="13976" spans="1:4" hidden="1" x14ac:dyDescent="0.25">
      <c r="A13976" t="s">
        <v>719</v>
      </c>
      <c r="B13976" t="s">
        <v>179</v>
      </c>
      <c r="C13976" s="2">
        <f>HYPERLINK("https://sao.dolgi.msk.ru/account/1404219097/", 1404219097)</f>
        <v>1404219097</v>
      </c>
      <c r="D13976">
        <v>-4123.7</v>
      </c>
    </row>
    <row r="13977" spans="1:4" hidden="1" x14ac:dyDescent="0.25">
      <c r="A13977" t="s">
        <v>719</v>
      </c>
      <c r="B13977" t="s">
        <v>180</v>
      </c>
      <c r="C13977" s="2">
        <f>HYPERLINK("https://sao.dolgi.msk.ru/account/1404220311/", 1404220311)</f>
        <v>1404220311</v>
      </c>
      <c r="D13977">
        <v>0</v>
      </c>
    </row>
    <row r="13978" spans="1:4" hidden="1" x14ac:dyDescent="0.25">
      <c r="A13978" t="s">
        <v>719</v>
      </c>
      <c r="B13978" t="s">
        <v>181</v>
      </c>
      <c r="C13978" s="2">
        <f>HYPERLINK("https://sao.dolgi.msk.ru/account/1404219652/", 1404219652)</f>
        <v>1404219652</v>
      </c>
      <c r="D13978">
        <v>0</v>
      </c>
    </row>
    <row r="13979" spans="1:4" hidden="1" x14ac:dyDescent="0.25">
      <c r="A13979" t="s">
        <v>719</v>
      </c>
      <c r="B13979" t="s">
        <v>182</v>
      </c>
      <c r="C13979" s="2">
        <f>HYPERLINK("https://sao.dolgi.msk.ru/account/1404220231/", 1404220231)</f>
        <v>1404220231</v>
      </c>
      <c r="D13979">
        <v>-3567.93</v>
      </c>
    </row>
    <row r="13980" spans="1:4" hidden="1" x14ac:dyDescent="0.25">
      <c r="A13980" t="s">
        <v>719</v>
      </c>
      <c r="B13980" t="s">
        <v>182</v>
      </c>
      <c r="C13980" s="2">
        <f>HYPERLINK("https://sao.dolgi.msk.ru/account/1404220987/", 1404220987)</f>
        <v>1404220987</v>
      </c>
      <c r="D13980">
        <v>-2743.84</v>
      </c>
    </row>
    <row r="13981" spans="1:4" hidden="1" x14ac:dyDescent="0.25">
      <c r="A13981" t="s">
        <v>719</v>
      </c>
      <c r="B13981" t="s">
        <v>183</v>
      </c>
      <c r="C13981" s="2">
        <f>HYPERLINK("https://sao.dolgi.msk.ru/account/1404220098/", 1404220098)</f>
        <v>1404220098</v>
      </c>
      <c r="D13981">
        <v>-4480.71</v>
      </c>
    </row>
    <row r="13982" spans="1:4" hidden="1" x14ac:dyDescent="0.25">
      <c r="A13982" t="s">
        <v>719</v>
      </c>
      <c r="B13982" t="s">
        <v>184</v>
      </c>
      <c r="C13982" s="2">
        <f>HYPERLINK("https://sao.dolgi.msk.ru/account/1404220784/", 1404220784)</f>
        <v>1404220784</v>
      </c>
      <c r="D13982">
        <v>0</v>
      </c>
    </row>
    <row r="13983" spans="1:4" hidden="1" x14ac:dyDescent="0.25">
      <c r="A13983" t="s">
        <v>719</v>
      </c>
      <c r="B13983" t="s">
        <v>185</v>
      </c>
      <c r="C13983" s="2">
        <f>HYPERLINK("https://sao.dolgi.msk.ru/account/1404220047/", 1404220047)</f>
        <v>1404220047</v>
      </c>
      <c r="D13983">
        <v>-4772.93</v>
      </c>
    </row>
    <row r="13984" spans="1:4" hidden="1" x14ac:dyDescent="0.25">
      <c r="A13984" t="s">
        <v>719</v>
      </c>
      <c r="B13984" t="s">
        <v>186</v>
      </c>
      <c r="C13984" s="2">
        <f>HYPERLINK("https://sao.dolgi.msk.ru/account/1404219193/", 1404219193)</f>
        <v>1404219193</v>
      </c>
      <c r="D13984">
        <v>-4427.6499999999996</v>
      </c>
    </row>
    <row r="13985" spans="1:4" hidden="1" x14ac:dyDescent="0.25">
      <c r="A13985" t="s">
        <v>719</v>
      </c>
      <c r="B13985" t="s">
        <v>187</v>
      </c>
      <c r="C13985" s="2">
        <f>HYPERLINK("https://sao.dolgi.msk.ru/account/1404218828/", 1404218828)</f>
        <v>1404218828</v>
      </c>
      <c r="D13985">
        <v>-4187.25</v>
      </c>
    </row>
    <row r="13986" spans="1:4" x14ac:dyDescent="0.25">
      <c r="A13986" t="s">
        <v>719</v>
      </c>
      <c r="B13986" t="s">
        <v>188</v>
      </c>
      <c r="C13986" s="2">
        <f>HYPERLINK("https://sao.dolgi.msk.ru/account/1404218633/", 1404218633)</f>
        <v>1404218633</v>
      </c>
      <c r="D13986">
        <v>8294.17</v>
      </c>
    </row>
    <row r="13987" spans="1:4" hidden="1" x14ac:dyDescent="0.25">
      <c r="A13987" t="s">
        <v>719</v>
      </c>
      <c r="B13987" t="s">
        <v>189</v>
      </c>
      <c r="C13987" s="2">
        <f>HYPERLINK("https://sao.dolgi.msk.ru/account/1404221322/", 1404221322)</f>
        <v>1404221322</v>
      </c>
      <c r="D13987">
        <v>-4947.76</v>
      </c>
    </row>
    <row r="13988" spans="1:4" x14ac:dyDescent="0.25">
      <c r="A13988" t="s">
        <v>719</v>
      </c>
      <c r="B13988" t="s">
        <v>190</v>
      </c>
      <c r="C13988" s="2">
        <f>HYPERLINK("https://sao.dolgi.msk.ru/account/1404220856/", 1404220856)</f>
        <v>1404220856</v>
      </c>
      <c r="D13988">
        <v>4139.67</v>
      </c>
    </row>
    <row r="13989" spans="1:4" hidden="1" x14ac:dyDescent="0.25">
      <c r="A13989" t="s">
        <v>719</v>
      </c>
      <c r="B13989" t="s">
        <v>191</v>
      </c>
      <c r="C13989" s="2">
        <f>HYPERLINK("https://sao.dolgi.msk.ru/account/1404220979/", 1404220979)</f>
        <v>1404220979</v>
      </c>
      <c r="D13989">
        <v>-4267.54</v>
      </c>
    </row>
    <row r="13990" spans="1:4" hidden="1" x14ac:dyDescent="0.25">
      <c r="A13990" t="s">
        <v>719</v>
      </c>
      <c r="B13990" t="s">
        <v>192</v>
      </c>
      <c r="C13990" s="2">
        <f>HYPERLINK("https://sao.dolgi.msk.ru/account/1404219919/", 1404219919)</f>
        <v>1404219919</v>
      </c>
      <c r="D13990">
        <v>0</v>
      </c>
    </row>
    <row r="13991" spans="1:4" hidden="1" x14ac:dyDescent="0.25">
      <c r="A13991" t="s">
        <v>719</v>
      </c>
      <c r="B13991" t="s">
        <v>193</v>
      </c>
      <c r="C13991" s="2">
        <f>HYPERLINK("https://sao.dolgi.msk.ru/account/1404221138/", 1404221138)</f>
        <v>1404221138</v>
      </c>
      <c r="D13991">
        <v>0</v>
      </c>
    </row>
    <row r="13992" spans="1:4" hidden="1" x14ac:dyDescent="0.25">
      <c r="A13992" t="s">
        <v>719</v>
      </c>
      <c r="B13992" t="s">
        <v>194</v>
      </c>
      <c r="C13992" s="2">
        <f>HYPERLINK("https://sao.dolgi.msk.ru/account/1404219804/", 1404219804)</f>
        <v>1404219804</v>
      </c>
      <c r="D13992">
        <v>-5043.07</v>
      </c>
    </row>
    <row r="13993" spans="1:4" hidden="1" x14ac:dyDescent="0.25">
      <c r="A13993" t="s">
        <v>719</v>
      </c>
      <c r="B13993" t="s">
        <v>195</v>
      </c>
      <c r="C13993" s="2">
        <f>HYPERLINK("https://sao.dolgi.msk.ru/account/1404220899/", 1404220899)</f>
        <v>1404220899</v>
      </c>
      <c r="D13993">
        <v>0</v>
      </c>
    </row>
    <row r="13994" spans="1:4" hidden="1" x14ac:dyDescent="0.25">
      <c r="A13994" t="s">
        <v>719</v>
      </c>
      <c r="B13994" t="s">
        <v>196</v>
      </c>
      <c r="C13994" s="2">
        <f>HYPERLINK("https://sao.dolgi.msk.ru/account/1404220426/", 1404220426)</f>
        <v>1404220426</v>
      </c>
      <c r="D13994">
        <v>0</v>
      </c>
    </row>
    <row r="13995" spans="1:4" hidden="1" x14ac:dyDescent="0.25">
      <c r="A13995" t="s">
        <v>719</v>
      </c>
      <c r="B13995" t="s">
        <v>197</v>
      </c>
      <c r="C13995" s="2">
        <f>HYPERLINK("https://sao.dolgi.msk.ru/account/1404219441/", 1404219441)</f>
        <v>1404219441</v>
      </c>
      <c r="D13995">
        <v>-3459.6</v>
      </c>
    </row>
    <row r="13996" spans="1:4" hidden="1" x14ac:dyDescent="0.25">
      <c r="A13996" t="s">
        <v>719</v>
      </c>
      <c r="B13996" t="s">
        <v>198</v>
      </c>
      <c r="C13996" s="2">
        <f>HYPERLINK("https://sao.dolgi.msk.ru/account/1404218625/", 1404218625)</f>
        <v>1404218625</v>
      </c>
      <c r="D13996">
        <v>0</v>
      </c>
    </row>
    <row r="13997" spans="1:4" hidden="1" x14ac:dyDescent="0.25">
      <c r="A13997" t="s">
        <v>719</v>
      </c>
      <c r="B13997" t="s">
        <v>199</v>
      </c>
      <c r="C13997" s="2">
        <f>HYPERLINK("https://sao.dolgi.msk.ru/account/1404220637/", 1404220637)</f>
        <v>1404220637</v>
      </c>
      <c r="D13997">
        <v>-4324.84</v>
      </c>
    </row>
    <row r="13998" spans="1:4" hidden="1" x14ac:dyDescent="0.25">
      <c r="A13998" t="s">
        <v>719</v>
      </c>
      <c r="B13998" t="s">
        <v>200</v>
      </c>
      <c r="C13998" s="2">
        <f>HYPERLINK("https://sao.dolgi.msk.ru/account/1404219302/", 1404219302)</f>
        <v>1404219302</v>
      </c>
      <c r="D13998">
        <v>-3969.17</v>
      </c>
    </row>
    <row r="13999" spans="1:4" hidden="1" x14ac:dyDescent="0.25">
      <c r="A13999" t="s">
        <v>719</v>
      </c>
      <c r="B13999" t="s">
        <v>201</v>
      </c>
      <c r="C13999" s="2">
        <f>HYPERLINK("https://sao.dolgi.msk.ru/account/1404219628/", 1404219628)</f>
        <v>1404219628</v>
      </c>
      <c r="D13999">
        <v>-6203.19</v>
      </c>
    </row>
    <row r="14000" spans="1:4" hidden="1" x14ac:dyDescent="0.25">
      <c r="A14000" t="s">
        <v>719</v>
      </c>
      <c r="B14000" t="s">
        <v>202</v>
      </c>
      <c r="C14000" s="2">
        <f>HYPERLINK("https://sao.dolgi.msk.ru/account/1404218799/", 1404218799)</f>
        <v>1404218799</v>
      </c>
      <c r="D14000">
        <v>0</v>
      </c>
    </row>
    <row r="14001" spans="1:4" hidden="1" x14ac:dyDescent="0.25">
      <c r="A14001" t="s">
        <v>719</v>
      </c>
      <c r="B14001" t="s">
        <v>203</v>
      </c>
      <c r="C14001" s="2">
        <f>HYPERLINK("https://sao.dolgi.msk.ru/account/1404220143/", 1404220143)</f>
        <v>1404220143</v>
      </c>
      <c r="D14001">
        <v>-212.23</v>
      </c>
    </row>
    <row r="14002" spans="1:4" hidden="1" x14ac:dyDescent="0.25">
      <c r="A14002" t="s">
        <v>719</v>
      </c>
      <c r="B14002" t="s">
        <v>204</v>
      </c>
      <c r="C14002" s="2">
        <f>HYPERLINK("https://sao.dolgi.msk.ru/account/1404219011/", 1404219011)</f>
        <v>1404219011</v>
      </c>
      <c r="D14002">
        <v>-5908.38</v>
      </c>
    </row>
    <row r="14003" spans="1:4" hidden="1" x14ac:dyDescent="0.25">
      <c r="A14003" t="s">
        <v>719</v>
      </c>
      <c r="B14003" t="s">
        <v>205</v>
      </c>
      <c r="C14003" s="2">
        <f>HYPERLINK("https://sao.dolgi.msk.ru/account/1404219177/", 1404219177)</f>
        <v>1404219177</v>
      </c>
      <c r="D14003">
        <v>-4069.43</v>
      </c>
    </row>
    <row r="14004" spans="1:4" hidden="1" x14ac:dyDescent="0.25">
      <c r="A14004" t="s">
        <v>719</v>
      </c>
      <c r="B14004" t="s">
        <v>206</v>
      </c>
      <c r="C14004" s="2">
        <f>HYPERLINK("https://sao.dolgi.msk.ru/account/1404218537/", 1404218537)</f>
        <v>1404218537</v>
      </c>
      <c r="D14004">
        <v>-6495.12</v>
      </c>
    </row>
    <row r="14005" spans="1:4" x14ac:dyDescent="0.25">
      <c r="A14005" t="s">
        <v>719</v>
      </c>
      <c r="B14005" t="s">
        <v>207</v>
      </c>
      <c r="C14005" s="2">
        <f>HYPERLINK("https://sao.dolgi.msk.ru/account/1404220434/", 1404220434)</f>
        <v>1404220434</v>
      </c>
      <c r="D14005">
        <v>15702.63</v>
      </c>
    </row>
    <row r="14006" spans="1:4" hidden="1" x14ac:dyDescent="0.25">
      <c r="A14006" t="s">
        <v>719</v>
      </c>
      <c r="B14006" t="s">
        <v>208</v>
      </c>
      <c r="C14006" s="2">
        <f>HYPERLINK("https://sao.dolgi.msk.ru/account/1404218561/", 1404218561)</f>
        <v>1404218561</v>
      </c>
      <c r="D14006">
        <v>-6092.86</v>
      </c>
    </row>
    <row r="14007" spans="1:4" hidden="1" x14ac:dyDescent="0.25">
      <c r="A14007" t="s">
        <v>719</v>
      </c>
      <c r="B14007" t="s">
        <v>209</v>
      </c>
      <c r="C14007" s="2">
        <f>HYPERLINK("https://sao.dolgi.msk.ru/account/1404218852/", 1404218852)</f>
        <v>1404218852</v>
      </c>
      <c r="D14007">
        <v>-7095.46</v>
      </c>
    </row>
    <row r="14008" spans="1:4" x14ac:dyDescent="0.25">
      <c r="A14008" t="s">
        <v>719</v>
      </c>
      <c r="B14008" t="s">
        <v>210</v>
      </c>
      <c r="C14008" s="2">
        <f>HYPERLINK("https://sao.dolgi.msk.ru/account/1404220194/", 1404220194)</f>
        <v>1404220194</v>
      </c>
      <c r="D14008">
        <v>23075.48</v>
      </c>
    </row>
    <row r="14009" spans="1:4" hidden="1" x14ac:dyDescent="0.25">
      <c r="A14009" t="s">
        <v>719</v>
      </c>
      <c r="B14009" t="s">
        <v>211</v>
      </c>
      <c r="C14009" s="2">
        <f>HYPERLINK("https://sao.dolgi.msk.ru/account/1404219783/", 1404219783)</f>
        <v>1404219783</v>
      </c>
      <c r="D14009">
        <v>-3469.45</v>
      </c>
    </row>
    <row r="14010" spans="1:4" hidden="1" x14ac:dyDescent="0.25">
      <c r="A14010" t="s">
        <v>719</v>
      </c>
      <c r="B14010" t="s">
        <v>212</v>
      </c>
      <c r="C14010" s="2">
        <f>HYPERLINK("https://sao.dolgi.msk.ru/account/1404221146/", 1404221146)</f>
        <v>1404221146</v>
      </c>
      <c r="D14010">
        <v>-7571.46</v>
      </c>
    </row>
    <row r="14011" spans="1:4" hidden="1" x14ac:dyDescent="0.25">
      <c r="A14011" t="s">
        <v>719</v>
      </c>
      <c r="B14011" t="s">
        <v>213</v>
      </c>
      <c r="C14011" s="2">
        <f>HYPERLINK("https://sao.dolgi.msk.ru/account/1404218991/", 1404218991)</f>
        <v>1404218991</v>
      </c>
      <c r="D14011">
        <v>-6218.43</v>
      </c>
    </row>
    <row r="14012" spans="1:4" x14ac:dyDescent="0.25">
      <c r="A14012" t="s">
        <v>719</v>
      </c>
      <c r="B14012" t="s">
        <v>214</v>
      </c>
      <c r="C14012" s="2">
        <f>HYPERLINK("https://sao.dolgi.msk.ru/account/1404220688/", 1404220688)</f>
        <v>1404220688</v>
      </c>
      <c r="D14012">
        <v>8520.98</v>
      </c>
    </row>
    <row r="14013" spans="1:4" hidden="1" x14ac:dyDescent="0.25">
      <c r="A14013" t="s">
        <v>719</v>
      </c>
      <c r="B14013" t="s">
        <v>215</v>
      </c>
      <c r="C14013" s="2">
        <f>HYPERLINK("https://sao.dolgi.msk.ru/account/1404220602/", 1404220602)</f>
        <v>1404220602</v>
      </c>
      <c r="D14013">
        <v>0</v>
      </c>
    </row>
    <row r="14014" spans="1:4" hidden="1" x14ac:dyDescent="0.25">
      <c r="A14014" t="s">
        <v>719</v>
      </c>
      <c r="B14014" t="s">
        <v>216</v>
      </c>
      <c r="C14014" s="2">
        <f>HYPERLINK("https://sao.dolgi.msk.ru/account/1404219716/", 1404219716)</f>
        <v>1404219716</v>
      </c>
      <c r="D14014">
        <v>-8824.93</v>
      </c>
    </row>
    <row r="14015" spans="1:4" hidden="1" x14ac:dyDescent="0.25">
      <c r="A14015" t="s">
        <v>719</v>
      </c>
      <c r="B14015" t="s">
        <v>217</v>
      </c>
      <c r="C14015" s="2">
        <f>HYPERLINK("https://sao.dolgi.msk.ru/account/1404221015/", 1404221015)</f>
        <v>1404221015</v>
      </c>
      <c r="D14015">
        <v>-8515.41</v>
      </c>
    </row>
    <row r="14016" spans="1:4" hidden="1" x14ac:dyDescent="0.25">
      <c r="A14016" t="s">
        <v>719</v>
      </c>
      <c r="B14016" t="s">
        <v>218</v>
      </c>
      <c r="C14016" s="2">
        <f>HYPERLINK("https://sao.dolgi.msk.ru/account/1404218908/", 1404218908)</f>
        <v>1404218908</v>
      </c>
      <c r="D14016">
        <v>-3993.12</v>
      </c>
    </row>
    <row r="14017" spans="1:4" hidden="1" x14ac:dyDescent="0.25">
      <c r="A14017" t="s">
        <v>719</v>
      </c>
      <c r="B14017" t="s">
        <v>219</v>
      </c>
      <c r="C14017" s="2">
        <f>HYPERLINK("https://sao.dolgi.msk.ru/account/1404219847/", 1404219847)</f>
        <v>1404219847</v>
      </c>
      <c r="D14017">
        <v>-4340.2700000000004</v>
      </c>
    </row>
    <row r="14018" spans="1:4" hidden="1" x14ac:dyDescent="0.25">
      <c r="A14018" t="s">
        <v>719</v>
      </c>
      <c r="B14018" t="s">
        <v>220</v>
      </c>
      <c r="C14018" s="2">
        <f>HYPERLINK("https://sao.dolgi.msk.ru/account/1404219038/", 1404219038)</f>
        <v>1404219038</v>
      </c>
      <c r="D14018">
        <v>-4206.67</v>
      </c>
    </row>
    <row r="14019" spans="1:4" hidden="1" x14ac:dyDescent="0.25">
      <c r="A14019" t="s">
        <v>719</v>
      </c>
      <c r="B14019" t="s">
        <v>221</v>
      </c>
      <c r="C14019" s="2">
        <f>HYPERLINK("https://sao.dolgi.msk.ru/account/1404220717/", 1404220717)</f>
        <v>1404220717</v>
      </c>
      <c r="D14019">
        <v>-3576.96</v>
      </c>
    </row>
    <row r="14020" spans="1:4" hidden="1" x14ac:dyDescent="0.25">
      <c r="A14020" t="s">
        <v>719</v>
      </c>
      <c r="B14020" t="s">
        <v>222</v>
      </c>
      <c r="C14020" s="2">
        <f>HYPERLINK("https://sao.dolgi.msk.ru/account/1404219492/", 1404219492)</f>
        <v>1404219492</v>
      </c>
      <c r="D14020">
        <v>-226.76</v>
      </c>
    </row>
    <row r="14021" spans="1:4" hidden="1" x14ac:dyDescent="0.25">
      <c r="A14021" t="s">
        <v>719</v>
      </c>
      <c r="B14021" t="s">
        <v>223</v>
      </c>
      <c r="C14021" s="2">
        <f>HYPERLINK("https://sao.dolgi.msk.ru/account/1404220215/", 1404220215)</f>
        <v>1404220215</v>
      </c>
      <c r="D14021">
        <v>0</v>
      </c>
    </row>
    <row r="14022" spans="1:4" hidden="1" x14ac:dyDescent="0.25">
      <c r="A14022" t="s">
        <v>719</v>
      </c>
      <c r="B14022" t="s">
        <v>224</v>
      </c>
      <c r="C14022" s="2">
        <f>HYPERLINK("https://sao.dolgi.msk.ru/account/1404218748/", 1404218748)</f>
        <v>1404218748</v>
      </c>
      <c r="D14022">
        <v>-4833.62</v>
      </c>
    </row>
    <row r="14023" spans="1:4" x14ac:dyDescent="0.25">
      <c r="A14023" t="s">
        <v>719</v>
      </c>
      <c r="B14023" t="s">
        <v>225</v>
      </c>
      <c r="C14023" s="2">
        <f>HYPERLINK("https://sao.dolgi.msk.ru/account/1404220557/", 1404220557)</f>
        <v>1404220557</v>
      </c>
      <c r="D14023">
        <v>15113.12</v>
      </c>
    </row>
    <row r="14024" spans="1:4" hidden="1" x14ac:dyDescent="0.25">
      <c r="A14024" t="s">
        <v>719</v>
      </c>
      <c r="B14024" t="s">
        <v>226</v>
      </c>
      <c r="C14024" s="2">
        <f>HYPERLINK("https://sao.dolgi.msk.ru/account/1404220004/", 1404220004)</f>
        <v>1404220004</v>
      </c>
      <c r="D14024">
        <v>-4276.6400000000003</v>
      </c>
    </row>
    <row r="14025" spans="1:4" hidden="1" x14ac:dyDescent="0.25">
      <c r="A14025" t="s">
        <v>719</v>
      </c>
      <c r="B14025" t="s">
        <v>227</v>
      </c>
      <c r="C14025" s="2">
        <f>HYPERLINK("https://sao.dolgi.msk.ru/account/1404220645/", 1404220645)</f>
        <v>1404220645</v>
      </c>
      <c r="D14025">
        <v>0</v>
      </c>
    </row>
    <row r="14026" spans="1:4" hidden="1" x14ac:dyDescent="0.25">
      <c r="A14026" t="s">
        <v>719</v>
      </c>
      <c r="B14026" t="s">
        <v>228</v>
      </c>
      <c r="C14026" s="2">
        <f>HYPERLINK("https://sao.dolgi.msk.ru/account/1404220282/", 1404220282)</f>
        <v>1404220282</v>
      </c>
      <c r="D14026">
        <v>0</v>
      </c>
    </row>
    <row r="14027" spans="1:4" hidden="1" x14ac:dyDescent="0.25">
      <c r="A14027" t="s">
        <v>719</v>
      </c>
      <c r="B14027" t="s">
        <v>229</v>
      </c>
      <c r="C14027" s="2">
        <f>HYPERLINK("https://sao.dolgi.msk.ru/account/1404218553/", 1404218553)</f>
        <v>1404218553</v>
      </c>
      <c r="D14027">
        <v>0</v>
      </c>
    </row>
    <row r="14028" spans="1:4" hidden="1" x14ac:dyDescent="0.25">
      <c r="A14028" t="s">
        <v>719</v>
      </c>
      <c r="B14028" t="s">
        <v>230</v>
      </c>
      <c r="C14028" s="2">
        <f>HYPERLINK("https://sao.dolgi.msk.ru/account/1404221453/", 1404221453)</f>
        <v>1404221453</v>
      </c>
      <c r="D14028">
        <v>0</v>
      </c>
    </row>
    <row r="14029" spans="1:4" hidden="1" x14ac:dyDescent="0.25">
      <c r="A14029" t="s">
        <v>719</v>
      </c>
      <c r="B14029" t="s">
        <v>231</v>
      </c>
      <c r="C14029" s="2">
        <f>HYPERLINK("https://sao.dolgi.msk.ru/account/1404220944/", 1404220944)</f>
        <v>1404220944</v>
      </c>
      <c r="D14029">
        <v>-10622.65</v>
      </c>
    </row>
    <row r="14030" spans="1:4" hidden="1" x14ac:dyDescent="0.25">
      <c r="A14030" t="s">
        <v>719</v>
      </c>
      <c r="B14030" t="s">
        <v>232</v>
      </c>
      <c r="C14030" s="2">
        <f>HYPERLINK("https://sao.dolgi.msk.ru/account/1404220936/", 1404220936)</f>
        <v>1404220936</v>
      </c>
      <c r="D14030">
        <v>-7531.15</v>
      </c>
    </row>
    <row r="14031" spans="1:4" hidden="1" x14ac:dyDescent="0.25">
      <c r="A14031" t="s">
        <v>719</v>
      </c>
      <c r="B14031" t="s">
        <v>233</v>
      </c>
      <c r="C14031" s="2">
        <f>HYPERLINK("https://sao.dolgi.msk.ru/account/1404221402/", 1404221402)</f>
        <v>1404221402</v>
      </c>
      <c r="D14031">
        <v>-4569.0200000000004</v>
      </c>
    </row>
    <row r="14032" spans="1:4" hidden="1" x14ac:dyDescent="0.25">
      <c r="A14032" t="s">
        <v>719</v>
      </c>
      <c r="B14032" t="s">
        <v>234</v>
      </c>
      <c r="C14032" s="2">
        <f>HYPERLINK("https://sao.dolgi.msk.ru/account/1404220389/", 1404220389)</f>
        <v>1404220389</v>
      </c>
      <c r="D14032">
        <v>-5231.25</v>
      </c>
    </row>
    <row r="14033" spans="1:4" hidden="1" x14ac:dyDescent="0.25">
      <c r="A14033" t="s">
        <v>719</v>
      </c>
      <c r="B14033" t="s">
        <v>235</v>
      </c>
      <c r="C14033" s="2">
        <f>HYPERLINK("https://sao.dolgi.msk.ru/account/1404219169/", 1404219169)</f>
        <v>1404219169</v>
      </c>
      <c r="D14033">
        <v>-1814.5</v>
      </c>
    </row>
    <row r="14034" spans="1:4" hidden="1" x14ac:dyDescent="0.25">
      <c r="A14034" t="s">
        <v>719</v>
      </c>
      <c r="B14034" t="s">
        <v>239</v>
      </c>
      <c r="C14034" s="2">
        <f>HYPERLINK("https://sao.dolgi.msk.ru/account/1404218609/", 1404218609)</f>
        <v>1404218609</v>
      </c>
      <c r="D14034">
        <v>-4045.66</v>
      </c>
    </row>
    <row r="14035" spans="1:4" x14ac:dyDescent="0.25">
      <c r="A14035" t="s">
        <v>719</v>
      </c>
      <c r="B14035" t="s">
        <v>240</v>
      </c>
      <c r="C14035" s="2">
        <f>HYPERLINK("https://sao.dolgi.msk.ru/account/1404219767/", 1404219767)</f>
        <v>1404219767</v>
      </c>
      <c r="D14035">
        <v>35759.78</v>
      </c>
    </row>
    <row r="14036" spans="1:4" hidden="1" x14ac:dyDescent="0.25">
      <c r="A14036" t="s">
        <v>719</v>
      </c>
      <c r="B14036" t="s">
        <v>241</v>
      </c>
      <c r="C14036" s="2">
        <f>HYPERLINK("https://sao.dolgi.msk.ru/account/1404219548/", 1404219548)</f>
        <v>1404219548</v>
      </c>
      <c r="D14036">
        <v>0</v>
      </c>
    </row>
    <row r="14037" spans="1:4" hidden="1" x14ac:dyDescent="0.25">
      <c r="A14037" t="s">
        <v>719</v>
      </c>
      <c r="B14037" t="s">
        <v>242</v>
      </c>
      <c r="C14037" s="2">
        <f>HYPERLINK("https://sao.dolgi.msk.ru/account/1404221293/", 1404221293)</f>
        <v>1404221293</v>
      </c>
      <c r="D14037">
        <v>0</v>
      </c>
    </row>
    <row r="14038" spans="1:4" hidden="1" x14ac:dyDescent="0.25">
      <c r="A14038" t="s">
        <v>719</v>
      </c>
      <c r="B14038" t="s">
        <v>243</v>
      </c>
      <c r="C14038" s="2">
        <f>HYPERLINK("https://sao.dolgi.msk.ru/account/1404221306/", 1404221306)</f>
        <v>1404221306</v>
      </c>
      <c r="D14038">
        <v>0</v>
      </c>
    </row>
    <row r="14039" spans="1:4" hidden="1" x14ac:dyDescent="0.25">
      <c r="A14039" t="s">
        <v>719</v>
      </c>
      <c r="B14039" t="s">
        <v>244</v>
      </c>
      <c r="C14039" s="2">
        <f>HYPERLINK("https://sao.dolgi.msk.ru/account/1404221189/", 1404221189)</f>
        <v>1404221189</v>
      </c>
      <c r="D14039">
        <v>-9910.0400000000009</v>
      </c>
    </row>
    <row r="14040" spans="1:4" hidden="1" x14ac:dyDescent="0.25">
      <c r="A14040" t="s">
        <v>719</v>
      </c>
      <c r="B14040" t="s">
        <v>245</v>
      </c>
      <c r="C14040" s="2">
        <f>HYPERLINK("https://sao.dolgi.msk.ru/account/1404219636/", 1404219636)</f>
        <v>1404219636</v>
      </c>
      <c r="D14040">
        <v>-8731.7000000000007</v>
      </c>
    </row>
    <row r="14041" spans="1:4" hidden="1" x14ac:dyDescent="0.25">
      <c r="A14041" t="s">
        <v>720</v>
      </c>
      <c r="B14041" t="s">
        <v>5</v>
      </c>
      <c r="C14041" s="2">
        <f>HYPERLINK("https://sao.dolgi.msk.ru/account/1404088314/", 1404088314)</f>
        <v>1404088314</v>
      </c>
      <c r="D14041">
        <v>-9242.6200000000008</v>
      </c>
    </row>
    <row r="14042" spans="1:4" x14ac:dyDescent="0.25">
      <c r="A14042" t="s">
        <v>720</v>
      </c>
      <c r="B14042" t="s">
        <v>6</v>
      </c>
      <c r="C14042" s="2">
        <f>HYPERLINK("https://sao.dolgi.msk.ru/account/1404085893/", 1404085893)</f>
        <v>1404085893</v>
      </c>
      <c r="D14042">
        <v>53205.03</v>
      </c>
    </row>
    <row r="14043" spans="1:4" hidden="1" x14ac:dyDescent="0.25">
      <c r="A14043" t="s">
        <v>720</v>
      </c>
      <c r="B14043" t="s">
        <v>7</v>
      </c>
      <c r="C14043" s="2">
        <f>HYPERLINK("https://sao.dolgi.msk.ru/account/1404086132/", 1404086132)</f>
        <v>1404086132</v>
      </c>
      <c r="D14043">
        <v>0</v>
      </c>
    </row>
    <row r="14044" spans="1:4" hidden="1" x14ac:dyDescent="0.25">
      <c r="A14044" t="s">
        <v>720</v>
      </c>
      <c r="B14044" t="s">
        <v>8</v>
      </c>
      <c r="C14044" s="2">
        <f>HYPERLINK("https://sao.dolgi.msk.ru/account/1404085439/", 1404085439)</f>
        <v>1404085439</v>
      </c>
      <c r="D14044">
        <v>-4253.95</v>
      </c>
    </row>
    <row r="14045" spans="1:4" hidden="1" x14ac:dyDescent="0.25">
      <c r="A14045" t="s">
        <v>720</v>
      </c>
      <c r="B14045" t="s">
        <v>9</v>
      </c>
      <c r="C14045" s="2">
        <f>HYPERLINK("https://sao.dolgi.msk.ru/account/1404088576/", 1404088576)</f>
        <v>1404088576</v>
      </c>
      <c r="D14045">
        <v>-197.66</v>
      </c>
    </row>
    <row r="14046" spans="1:4" x14ac:dyDescent="0.25">
      <c r="A14046" t="s">
        <v>720</v>
      </c>
      <c r="B14046" t="s">
        <v>10</v>
      </c>
      <c r="C14046" s="2">
        <f>HYPERLINK("https://sao.dolgi.msk.ru/account/1404088584/", 1404088584)</f>
        <v>1404088584</v>
      </c>
      <c r="D14046">
        <v>4609.58</v>
      </c>
    </row>
    <row r="14047" spans="1:4" hidden="1" x14ac:dyDescent="0.25">
      <c r="A14047" t="s">
        <v>720</v>
      </c>
      <c r="B14047" t="s">
        <v>11</v>
      </c>
      <c r="C14047" s="2">
        <f>HYPERLINK("https://sao.dolgi.msk.ru/account/1404086554/", 1404086554)</f>
        <v>1404086554</v>
      </c>
      <c r="D14047">
        <v>0</v>
      </c>
    </row>
    <row r="14048" spans="1:4" hidden="1" x14ac:dyDescent="0.25">
      <c r="A14048" t="s">
        <v>720</v>
      </c>
      <c r="B14048" t="s">
        <v>12</v>
      </c>
      <c r="C14048" s="2">
        <f>HYPERLINK("https://sao.dolgi.msk.ru/account/1404090078/", 1404090078)</f>
        <v>1404090078</v>
      </c>
      <c r="D14048">
        <v>0</v>
      </c>
    </row>
    <row r="14049" spans="1:4" hidden="1" x14ac:dyDescent="0.25">
      <c r="A14049" t="s">
        <v>720</v>
      </c>
      <c r="B14049" t="s">
        <v>13</v>
      </c>
      <c r="C14049" s="2">
        <f>HYPERLINK("https://sao.dolgi.msk.ru/account/1404085965/", 1404085965)</f>
        <v>1404085965</v>
      </c>
      <c r="D14049">
        <v>-5374.74</v>
      </c>
    </row>
    <row r="14050" spans="1:4" hidden="1" x14ac:dyDescent="0.25">
      <c r="A14050" t="s">
        <v>720</v>
      </c>
      <c r="B14050" t="s">
        <v>14</v>
      </c>
      <c r="C14050" s="2">
        <f>HYPERLINK("https://sao.dolgi.msk.ru/account/1404086669/", 1404086669)</f>
        <v>1404086669</v>
      </c>
      <c r="D14050">
        <v>-5035.5200000000004</v>
      </c>
    </row>
    <row r="14051" spans="1:4" hidden="1" x14ac:dyDescent="0.25">
      <c r="A14051" t="s">
        <v>720</v>
      </c>
      <c r="B14051" t="s">
        <v>15</v>
      </c>
      <c r="C14051" s="2">
        <f>HYPERLINK("https://sao.dolgi.msk.ru/account/1404085711/", 1404085711)</f>
        <v>1404085711</v>
      </c>
      <c r="D14051">
        <v>0</v>
      </c>
    </row>
    <row r="14052" spans="1:4" hidden="1" x14ac:dyDescent="0.25">
      <c r="A14052" t="s">
        <v>720</v>
      </c>
      <c r="B14052" t="s">
        <v>16</v>
      </c>
      <c r="C14052" s="2">
        <f>HYPERLINK("https://sao.dolgi.msk.ru/account/1404087901/", 1404087901)</f>
        <v>1404087901</v>
      </c>
      <c r="D14052">
        <v>-10042.66</v>
      </c>
    </row>
    <row r="14053" spans="1:4" hidden="1" x14ac:dyDescent="0.25">
      <c r="A14053" t="s">
        <v>720</v>
      </c>
      <c r="B14053" t="s">
        <v>17</v>
      </c>
      <c r="C14053" s="2">
        <f>HYPERLINK("https://sao.dolgi.msk.ru/account/1404087928/", 1404087928)</f>
        <v>1404087928</v>
      </c>
      <c r="D14053">
        <v>-5237.18</v>
      </c>
    </row>
    <row r="14054" spans="1:4" hidden="1" x14ac:dyDescent="0.25">
      <c r="A14054" t="s">
        <v>720</v>
      </c>
      <c r="B14054" t="s">
        <v>18</v>
      </c>
      <c r="C14054" s="2">
        <f>HYPERLINK("https://sao.dolgi.msk.ru/account/1404087549/", 1404087549)</f>
        <v>1404087549</v>
      </c>
      <c r="D14054">
        <v>-347.09</v>
      </c>
    </row>
    <row r="14055" spans="1:4" hidden="1" x14ac:dyDescent="0.25">
      <c r="A14055" t="s">
        <v>720</v>
      </c>
      <c r="B14055" t="s">
        <v>19</v>
      </c>
      <c r="C14055" s="2">
        <f>HYPERLINK("https://sao.dolgi.msk.ru/account/1404084807/", 1404084807)</f>
        <v>1404084807</v>
      </c>
      <c r="D14055">
        <v>0</v>
      </c>
    </row>
    <row r="14056" spans="1:4" x14ac:dyDescent="0.25">
      <c r="A14056" t="s">
        <v>720</v>
      </c>
      <c r="B14056" t="s">
        <v>20</v>
      </c>
      <c r="C14056" s="2">
        <f>HYPERLINK("https://sao.dolgi.msk.ru/account/1404088963/", 1404088963)</f>
        <v>1404088963</v>
      </c>
      <c r="D14056">
        <v>10056.200000000001</v>
      </c>
    </row>
    <row r="14057" spans="1:4" x14ac:dyDescent="0.25">
      <c r="A14057" t="s">
        <v>720</v>
      </c>
      <c r="B14057" t="s">
        <v>21</v>
      </c>
      <c r="C14057" s="2">
        <f>HYPERLINK("https://sao.dolgi.msk.ru/account/1404090561/", 1404090561)</f>
        <v>1404090561</v>
      </c>
      <c r="D14057">
        <v>101307.37</v>
      </c>
    </row>
    <row r="14058" spans="1:4" hidden="1" x14ac:dyDescent="0.25">
      <c r="A14058" t="s">
        <v>720</v>
      </c>
      <c r="B14058" t="s">
        <v>22</v>
      </c>
      <c r="C14058" s="2">
        <f>HYPERLINK("https://sao.dolgi.msk.ru/account/1404087223/", 1404087223)</f>
        <v>1404087223</v>
      </c>
      <c r="D14058">
        <v>-4048.66</v>
      </c>
    </row>
    <row r="14059" spans="1:4" hidden="1" x14ac:dyDescent="0.25">
      <c r="A14059" t="s">
        <v>720</v>
      </c>
      <c r="B14059" t="s">
        <v>23</v>
      </c>
      <c r="C14059" s="2">
        <f>HYPERLINK("https://sao.dolgi.msk.ru/account/1404090043/", 1404090043)</f>
        <v>1404090043</v>
      </c>
      <c r="D14059">
        <v>-45.56</v>
      </c>
    </row>
    <row r="14060" spans="1:4" hidden="1" x14ac:dyDescent="0.25">
      <c r="A14060" t="s">
        <v>720</v>
      </c>
      <c r="B14060" t="s">
        <v>24</v>
      </c>
      <c r="C14060" s="2">
        <f>HYPERLINK("https://sao.dolgi.msk.ru/account/1404084997/", 1404084997)</f>
        <v>1404084997</v>
      </c>
      <c r="D14060">
        <v>-4794.32</v>
      </c>
    </row>
    <row r="14061" spans="1:4" hidden="1" x14ac:dyDescent="0.25">
      <c r="A14061" t="s">
        <v>720</v>
      </c>
      <c r="B14061" t="s">
        <v>25</v>
      </c>
      <c r="C14061" s="2">
        <f>HYPERLINK("https://sao.dolgi.msk.ru/account/1404087477/", 1404087477)</f>
        <v>1404087477</v>
      </c>
      <c r="D14061">
        <v>-8421.39</v>
      </c>
    </row>
    <row r="14062" spans="1:4" hidden="1" x14ac:dyDescent="0.25">
      <c r="A14062" t="s">
        <v>720</v>
      </c>
      <c r="B14062" t="s">
        <v>26</v>
      </c>
      <c r="C14062" s="2">
        <f>HYPERLINK("https://sao.dolgi.msk.ru/account/1404086431/", 1404086431)</f>
        <v>1404086431</v>
      </c>
      <c r="D14062">
        <v>-6288.99</v>
      </c>
    </row>
    <row r="14063" spans="1:4" hidden="1" x14ac:dyDescent="0.25">
      <c r="A14063" t="s">
        <v>720</v>
      </c>
      <c r="B14063" t="s">
        <v>26</v>
      </c>
      <c r="C14063" s="2">
        <f>HYPERLINK("https://sao.dolgi.msk.ru/account/1404089712/", 1404089712)</f>
        <v>1404089712</v>
      </c>
      <c r="D14063">
        <v>-1138.2</v>
      </c>
    </row>
    <row r="14064" spans="1:4" hidden="1" x14ac:dyDescent="0.25">
      <c r="A14064" t="s">
        <v>720</v>
      </c>
      <c r="B14064" t="s">
        <v>27</v>
      </c>
      <c r="C14064" s="2">
        <f>HYPERLINK("https://sao.dolgi.msk.ru/account/1404088859/", 1404088859)</f>
        <v>1404088859</v>
      </c>
      <c r="D14064">
        <v>-4551.49</v>
      </c>
    </row>
    <row r="14065" spans="1:4" hidden="1" x14ac:dyDescent="0.25">
      <c r="A14065" t="s">
        <v>720</v>
      </c>
      <c r="B14065" t="s">
        <v>28</v>
      </c>
      <c r="C14065" s="2">
        <f>HYPERLINK("https://sao.dolgi.msk.ru/account/1404084639/", 1404084639)</f>
        <v>1404084639</v>
      </c>
      <c r="D14065">
        <v>-3172.23</v>
      </c>
    </row>
    <row r="14066" spans="1:4" hidden="1" x14ac:dyDescent="0.25">
      <c r="A14066" t="s">
        <v>720</v>
      </c>
      <c r="B14066" t="s">
        <v>29</v>
      </c>
      <c r="C14066" s="2">
        <f>HYPERLINK("https://sao.dolgi.msk.ru/account/1404089173/", 1404089173)</f>
        <v>1404089173</v>
      </c>
      <c r="D14066">
        <v>-200.25</v>
      </c>
    </row>
    <row r="14067" spans="1:4" hidden="1" x14ac:dyDescent="0.25">
      <c r="A14067" t="s">
        <v>720</v>
      </c>
      <c r="B14067" t="s">
        <v>30</v>
      </c>
      <c r="C14067" s="2">
        <f>HYPERLINK("https://sao.dolgi.msk.ru/account/1404084516/", 1404084516)</f>
        <v>1404084516</v>
      </c>
      <c r="D14067">
        <v>-5123.13</v>
      </c>
    </row>
    <row r="14068" spans="1:4" hidden="1" x14ac:dyDescent="0.25">
      <c r="A14068" t="s">
        <v>720</v>
      </c>
      <c r="B14068" t="s">
        <v>31</v>
      </c>
      <c r="C14068" s="2">
        <f>HYPERLINK("https://sao.dolgi.msk.ru/account/1404087741/", 1404087741)</f>
        <v>1404087741</v>
      </c>
      <c r="D14068">
        <v>-366.66</v>
      </c>
    </row>
    <row r="14069" spans="1:4" hidden="1" x14ac:dyDescent="0.25">
      <c r="A14069" t="s">
        <v>720</v>
      </c>
      <c r="B14069" t="s">
        <v>32</v>
      </c>
      <c r="C14069" s="2">
        <f>HYPERLINK("https://sao.dolgi.msk.ru/account/1404084508/", 1404084508)</f>
        <v>1404084508</v>
      </c>
      <c r="D14069">
        <v>-7853.73</v>
      </c>
    </row>
    <row r="14070" spans="1:4" hidden="1" x14ac:dyDescent="0.25">
      <c r="A14070" t="s">
        <v>720</v>
      </c>
      <c r="B14070" t="s">
        <v>33</v>
      </c>
      <c r="C14070" s="2">
        <f>HYPERLINK("https://sao.dolgi.msk.ru/account/1404085703/", 1404085703)</f>
        <v>1404085703</v>
      </c>
      <c r="D14070">
        <v>0</v>
      </c>
    </row>
    <row r="14071" spans="1:4" hidden="1" x14ac:dyDescent="0.25">
      <c r="A14071" t="s">
        <v>720</v>
      </c>
      <c r="B14071" t="s">
        <v>34</v>
      </c>
      <c r="C14071" s="2">
        <f>HYPERLINK("https://sao.dolgi.msk.ru/account/1404089181/", 1404089181)</f>
        <v>1404089181</v>
      </c>
      <c r="D14071">
        <v>-810.3</v>
      </c>
    </row>
    <row r="14072" spans="1:4" x14ac:dyDescent="0.25">
      <c r="A14072" t="s">
        <v>720</v>
      </c>
      <c r="B14072" t="s">
        <v>35</v>
      </c>
      <c r="C14072" s="2">
        <f>HYPERLINK("https://sao.dolgi.msk.ru/account/1404086941/", 1404086941)</f>
        <v>1404086941</v>
      </c>
      <c r="D14072">
        <v>5855.51</v>
      </c>
    </row>
    <row r="14073" spans="1:4" hidden="1" x14ac:dyDescent="0.25">
      <c r="A14073" t="s">
        <v>720</v>
      </c>
      <c r="B14073" t="s">
        <v>36</v>
      </c>
      <c r="C14073" s="2">
        <f>HYPERLINK("https://sao.dolgi.msk.ru/account/1404090254/", 1404090254)</f>
        <v>1404090254</v>
      </c>
      <c r="D14073">
        <v>-4468.8100000000004</v>
      </c>
    </row>
    <row r="14074" spans="1:4" hidden="1" x14ac:dyDescent="0.25">
      <c r="A14074" t="s">
        <v>720</v>
      </c>
      <c r="B14074" t="s">
        <v>37</v>
      </c>
      <c r="C14074" s="2">
        <f>HYPERLINK("https://sao.dolgi.msk.ru/account/1404088824/", 1404088824)</f>
        <v>1404088824</v>
      </c>
      <c r="D14074">
        <v>-5154.1899999999996</v>
      </c>
    </row>
    <row r="14075" spans="1:4" hidden="1" x14ac:dyDescent="0.25">
      <c r="A14075" t="s">
        <v>720</v>
      </c>
      <c r="B14075" t="s">
        <v>38</v>
      </c>
      <c r="C14075" s="2">
        <f>HYPERLINK("https://sao.dolgi.msk.ru/account/1404089296/", 1404089296)</f>
        <v>1404089296</v>
      </c>
      <c r="D14075">
        <v>-1042.8499999999999</v>
      </c>
    </row>
    <row r="14076" spans="1:4" hidden="1" x14ac:dyDescent="0.25">
      <c r="A14076" t="s">
        <v>720</v>
      </c>
      <c r="B14076" t="s">
        <v>39</v>
      </c>
      <c r="C14076" s="2">
        <f>HYPERLINK("https://sao.dolgi.msk.ru/account/1404087215/", 1404087215)</f>
        <v>1404087215</v>
      </c>
      <c r="D14076">
        <v>-7687.55</v>
      </c>
    </row>
    <row r="14077" spans="1:4" hidden="1" x14ac:dyDescent="0.25">
      <c r="A14077" t="s">
        <v>720</v>
      </c>
      <c r="B14077" t="s">
        <v>40</v>
      </c>
      <c r="C14077" s="2">
        <f>HYPERLINK("https://sao.dolgi.msk.ru/account/1404085412/", 1404085412)</f>
        <v>1404085412</v>
      </c>
      <c r="D14077">
        <v>-6623.53</v>
      </c>
    </row>
    <row r="14078" spans="1:4" hidden="1" x14ac:dyDescent="0.25">
      <c r="A14078" t="s">
        <v>720</v>
      </c>
      <c r="B14078" t="s">
        <v>41</v>
      </c>
      <c r="C14078" s="2">
        <f>HYPERLINK("https://sao.dolgi.msk.ru/account/1404086378/", 1404086378)</f>
        <v>1404086378</v>
      </c>
      <c r="D14078">
        <v>-5487.12</v>
      </c>
    </row>
    <row r="14079" spans="1:4" hidden="1" x14ac:dyDescent="0.25">
      <c r="A14079" t="s">
        <v>720</v>
      </c>
      <c r="B14079" t="s">
        <v>42</v>
      </c>
      <c r="C14079" s="2">
        <f>HYPERLINK("https://sao.dolgi.msk.ru/account/1404086968/", 1404086968)</f>
        <v>1404086968</v>
      </c>
      <c r="D14079">
        <v>-70.66</v>
      </c>
    </row>
    <row r="14080" spans="1:4" hidden="1" x14ac:dyDescent="0.25">
      <c r="A14080" t="s">
        <v>720</v>
      </c>
      <c r="B14080" t="s">
        <v>43</v>
      </c>
      <c r="C14080" s="2">
        <f>HYPERLINK("https://sao.dolgi.msk.ru/account/1404087119/", 1404087119)</f>
        <v>1404087119</v>
      </c>
      <c r="D14080">
        <v>-5710.7</v>
      </c>
    </row>
    <row r="14081" spans="1:4" hidden="1" x14ac:dyDescent="0.25">
      <c r="A14081" t="s">
        <v>720</v>
      </c>
      <c r="B14081" t="s">
        <v>44</v>
      </c>
      <c r="C14081" s="2">
        <f>HYPERLINK("https://sao.dolgi.msk.ru/account/1404087135/", 1404087135)</f>
        <v>1404087135</v>
      </c>
      <c r="D14081">
        <v>-4779.62</v>
      </c>
    </row>
    <row r="14082" spans="1:4" hidden="1" x14ac:dyDescent="0.25">
      <c r="A14082" t="s">
        <v>720</v>
      </c>
      <c r="B14082" t="s">
        <v>45</v>
      </c>
      <c r="C14082" s="2">
        <f>HYPERLINK("https://sao.dolgi.msk.ru/account/1404087768/", 1404087768)</f>
        <v>1404087768</v>
      </c>
      <c r="D14082">
        <v>-868.68</v>
      </c>
    </row>
    <row r="14083" spans="1:4" hidden="1" x14ac:dyDescent="0.25">
      <c r="A14083" t="s">
        <v>720</v>
      </c>
      <c r="B14083" t="s">
        <v>46</v>
      </c>
      <c r="C14083" s="2">
        <f>HYPERLINK("https://sao.dolgi.msk.ru/account/1404086191/", 1404086191)</f>
        <v>1404086191</v>
      </c>
      <c r="D14083">
        <v>-6560.73</v>
      </c>
    </row>
    <row r="14084" spans="1:4" hidden="1" x14ac:dyDescent="0.25">
      <c r="A14084" t="s">
        <v>720</v>
      </c>
      <c r="B14084" t="s">
        <v>47</v>
      </c>
      <c r="C14084" s="2">
        <f>HYPERLINK("https://sao.dolgi.msk.ru/account/1404085375/", 1404085375)</f>
        <v>1404085375</v>
      </c>
      <c r="D14084">
        <v>-7719.81</v>
      </c>
    </row>
    <row r="14085" spans="1:4" x14ac:dyDescent="0.25">
      <c r="A14085" t="s">
        <v>720</v>
      </c>
      <c r="B14085" t="s">
        <v>48</v>
      </c>
      <c r="C14085" s="2">
        <f>HYPERLINK("https://sao.dolgi.msk.ru/account/1404086511/", 1404086511)</f>
        <v>1404086511</v>
      </c>
      <c r="D14085">
        <v>9108.8799999999992</v>
      </c>
    </row>
    <row r="14086" spans="1:4" x14ac:dyDescent="0.25">
      <c r="A14086" t="s">
        <v>720</v>
      </c>
      <c r="B14086" t="s">
        <v>49</v>
      </c>
      <c r="C14086" s="2">
        <f>HYPERLINK("https://sao.dolgi.msk.ru/account/1404086538/", 1404086538)</f>
        <v>1404086538</v>
      </c>
      <c r="D14086">
        <v>10725.47</v>
      </c>
    </row>
    <row r="14087" spans="1:4" hidden="1" x14ac:dyDescent="0.25">
      <c r="A14087" t="s">
        <v>720</v>
      </c>
      <c r="B14087" t="s">
        <v>50</v>
      </c>
      <c r="C14087" s="2">
        <f>HYPERLINK("https://sao.dolgi.msk.ru/account/1404090131/", 1404090131)</f>
        <v>1404090131</v>
      </c>
      <c r="D14087">
        <v>0</v>
      </c>
    </row>
    <row r="14088" spans="1:4" hidden="1" x14ac:dyDescent="0.25">
      <c r="A14088" t="s">
        <v>720</v>
      </c>
      <c r="B14088" t="s">
        <v>51</v>
      </c>
      <c r="C14088" s="2">
        <f>HYPERLINK("https://sao.dolgi.msk.ru/account/1404084276/", 1404084276)</f>
        <v>1404084276</v>
      </c>
      <c r="D14088">
        <v>-6670.78</v>
      </c>
    </row>
    <row r="14089" spans="1:4" x14ac:dyDescent="0.25">
      <c r="A14089" t="s">
        <v>720</v>
      </c>
      <c r="B14089" t="s">
        <v>52</v>
      </c>
      <c r="C14089" s="2">
        <f>HYPERLINK("https://sao.dolgi.msk.ru/account/1404088816/", 1404088816)</f>
        <v>1404088816</v>
      </c>
      <c r="D14089">
        <v>7073.23</v>
      </c>
    </row>
    <row r="14090" spans="1:4" hidden="1" x14ac:dyDescent="0.25">
      <c r="A14090" t="s">
        <v>720</v>
      </c>
      <c r="B14090" t="s">
        <v>53</v>
      </c>
      <c r="C14090" s="2">
        <f>HYPERLINK("https://sao.dolgi.msk.ru/account/1404086079/", 1404086079)</f>
        <v>1404086079</v>
      </c>
      <c r="D14090">
        <v>-7390.2</v>
      </c>
    </row>
    <row r="14091" spans="1:4" hidden="1" x14ac:dyDescent="0.25">
      <c r="A14091" t="s">
        <v>720</v>
      </c>
      <c r="B14091" t="s">
        <v>54</v>
      </c>
      <c r="C14091" s="2">
        <f>HYPERLINK("https://sao.dolgi.msk.ru/account/1404088998/", 1404088998)</f>
        <v>1404088998</v>
      </c>
      <c r="D14091">
        <v>-9266.9500000000007</v>
      </c>
    </row>
    <row r="14092" spans="1:4" hidden="1" x14ac:dyDescent="0.25">
      <c r="A14092" t="s">
        <v>720</v>
      </c>
      <c r="B14092" t="s">
        <v>55</v>
      </c>
      <c r="C14092" s="2">
        <f>HYPERLINK("https://sao.dolgi.msk.ru/account/1404089536/", 1404089536)</f>
        <v>1404089536</v>
      </c>
      <c r="D14092">
        <v>-4058.13</v>
      </c>
    </row>
    <row r="14093" spans="1:4" hidden="1" x14ac:dyDescent="0.25">
      <c r="A14093" t="s">
        <v>720</v>
      </c>
      <c r="B14093" t="s">
        <v>56</v>
      </c>
      <c r="C14093" s="2">
        <f>HYPERLINK("https://sao.dolgi.msk.ru/account/1404087995/", 1404087995)</f>
        <v>1404087995</v>
      </c>
      <c r="D14093">
        <v>-7032.37</v>
      </c>
    </row>
    <row r="14094" spans="1:4" x14ac:dyDescent="0.25">
      <c r="A14094" t="s">
        <v>720</v>
      </c>
      <c r="B14094" t="s">
        <v>57</v>
      </c>
      <c r="C14094" s="2">
        <f>HYPERLINK("https://sao.dolgi.msk.ru/account/1404088007/", 1404088007)</f>
        <v>1404088007</v>
      </c>
      <c r="D14094">
        <v>7800.64</v>
      </c>
    </row>
    <row r="14095" spans="1:4" hidden="1" x14ac:dyDescent="0.25">
      <c r="A14095" t="s">
        <v>720</v>
      </c>
      <c r="B14095" t="s">
        <v>58</v>
      </c>
      <c r="C14095" s="2">
        <f>HYPERLINK("https://sao.dolgi.msk.ru/account/1404089341/", 1404089341)</f>
        <v>1404089341</v>
      </c>
      <c r="D14095">
        <v>-5397.78</v>
      </c>
    </row>
    <row r="14096" spans="1:4" hidden="1" x14ac:dyDescent="0.25">
      <c r="A14096" t="s">
        <v>720</v>
      </c>
      <c r="B14096" t="s">
        <v>59</v>
      </c>
      <c r="C14096" s="2">
        <f>HYPERLINK("https://sao.dolgi.msk.ru/account/1404087127/", 1404087127)</f>
        <v>1404087127</v>
      </c>
      <c r="D14096">
        <v>-396.2</v>
      </c>
    </row>
    <row r="14097" spans="1:4" hidden="1" x14ac:dyDescent="0.25">
      <c r="A14097" t="s">
        <v>720</v>
      </c>
      <c r="B14097" t="s">
        <v>60</v>
      </c>
      <c r="C14097" s="2">
        <f>HYPERLINK("https://sao.dolgi.msk.ru/account/1404086829/", 1404086829)</f>
        <v>1404086829</v>
      </c>
      <c r="D14097">
        <v>-476.36</v>
      </c>
    </row>
    <row r="14098" spans="1:4" hidden="1" x14ac:dyDescent="0.25">
      <c r="A14098" t="s">
        <v>720</v>
      </c>
      <c r="B14098" t="s">
        <v>61</v>
      </c>
      <c r="C14098" s="2">
        <f>HYPERLINK("https://sao.dolgi.msk.ru/account/1404088015/", 1404088015)</f>
        <v>1404088015</v>
      </c>
      <c r="D14098">
        <v>0</v>
      </c>
    </row>
    <row r="14099" spans="1:4" hidden="1" x14ac:dyDescent="0.25">
      <c r="A14099" t="s">
        <v>720</v>
      </c>
      <c r="B14099" t="s">
        <v>62</v>
      </c>
      <c r="C14099" s="2">
        <f>HYPERLINK("https://sao.dolgi.msk.ru/account/1404089456/", 1404089456)</f>
        <v>1404089456</v>
      </c>
      <c r="D14099">
        <v>0</v>
      </c>
    </row>
    <row r="14100" spans="1:4" hidden="1" x14ac:dyDescent="0.25">
      <c r="A14100" t="s">
        <v>720</v>
      </c>
      <c r="B14100" t="s">
        <v>63</v>
      </c>
      <c r="C14100" s="2">
        <f>HYPERLINK("https://sao.dolgi.msk.ru/account/1404090713/", 1404090713)</f>
        <v>1404090713</v>
      </c>
      <c r="D14100">
        <v>0</v>
      </c>
    </row>
    <row r="14101" spans="1:4" hidden="1" x14ac:dyDescent="0.25">
      <c r="A14101" t="s">
        <v>720</v>
      </c>
      <c r="B14101" t="s">
        <v>64</v>
      </c>
      <c r="C14101" s="2">
        <f>HYPERLINK("https://sao.dolgi.msk.ru/account/1404089851/", 1404089851)</f>
        <v>1404089851</v>
      </c>
      <c r="D14101">
        <v>0</v>
      </c>
    </row>
    <row r="14102" spans="1:4" hidden="1" x14ac:dyDescent="0.25">
      <c r="A14102" t="s">
        <v>720</v>
      </c>
      <c r="B14102" t="s">
        <v>65</v>
      </c>
      <c r="C14102" s="2">
        <f>HYPERLINK("https://sao.dolgi.msk.ru/account/1404085447/", 1404085447)</f>
        <v>1404085447</v>
      </c>
      <c r="D14102">
        <v>-2372.37</v>
      </c>
    </row>
    <row r="14103" spans="1:4" hidden="1" x14ac:dyDescent="0.25">
      <c r="A14103" t="s">
        <v>720</v>
      </c>
      <c r="B14103" t="s">
        <v>66</v>
      </c>
      <c r="C14103" s="2">
        <f>HYPERLINK("https://sao.dolgi.msk.ru/account/1404089464/", 1404089464)</f>
        <v>1404089464</v>
      </c>
      <c r="D14103">
        <v>-4602.32</v>
      </c>
    </row>
    <row r="14104" spans="1:4" hidden="1" x14ac:dyDescent="0.25">
      <c r="A14104" t="s">
        <v>720</v>
      </c>
      <c r="B14104" t="s">
        <v>67</v>
      </c>
      <c r="C14104" s="2">
        <f>HYPERLINK("https://sao.dolgi.msk.ru/account/1404086001/", 1404086001)</f>
        <v>1404086001</v>
      </c>
      <c r="D14104">
        <v>-4817.45</v>
      </c>
    </row>
    <row r="14105" spans="1:4" hidden="1" x14ac:dyDescent="0.25">
      <c r="A14105" t="s">
        <v>720</v>
      </c>
      <c r="B14105" t="s">
        <v>68</v>
      </c>
      <c r="C14105" s="2">
        <f>HYPERLINK("https://sao.dolgi.msk.ru/account/1404085543/", 1404085543)</f>
        <v>1404085543</v>
      </c>
      <c r="D14105">
        <v>-9364.44</v>
      </c>
    </row>
    <row r="14106" spans="1:4" hidden="1" x14ac:dyDescent="0.25">
      <c r="A14106" t="s">
        <v>720</v>
      </c>
      <c r="B14106" t="s">
        <v>69</v>
      </c>
      <c r="C14106" s="2">
        <f>HYPERLINK("https://sao.dolgi.msk.ru/account/1404084858/", 1404084858)</f>
        <v>1404084858</v>
      </c>
      <c r="D14106">
        <v>-4451.12</v>
      </c>
    </row>
    <row r="14107" spans="1:4" hidden="1" x14ac:dyDescent="0.25">
      <c r="A14107" t="s">
        <v>720</v>
      </c>
      <c r="B14107" t="s">
        <v>70</v>
      </c>
      <c r="C14107" s="2">
        <f>HYPERLINK("https://sao.dolgi.msk.ru/account/1404089165/", 1404089165)</f>
        <v>1404089165</v>
      </c>
      <c r="D14107">
        <v>-7141.16</v>
      </c>
    </row>
    <row r="14108" spans="1:4" hidden="1" x14ac:dyDescent="0.25">
      <c r="A14108" t="s">
        <v>720</v>
      </c>
      <c r="B14108" t="s">
        <v>71</v>
      </c>
      <c r="C14108" s="2">
        <f>HYPERLINK("https://sao.dolgi.msk.ru/account/1404086183/", 1404086183)</f>
        <v>1404086183</v>
      </c>
      <c r="D14108">
        <v>0</v>
      </c>
    </row>
    <row r="14109" spans="1:4" x14ac:dyDescent="0.25">
      <c r="A14109" t="s">
        <v>720</v>
      </c>
      <c r="B14109" t="s">
        <v>72</v>
      </c>
      <c r="C14109" s="2">
        <f>HYPERLINK("https://sao.dolgi.msk.ru/account/1404086335/", 1404086335)</f>
        <v>1404086335</v>
      </c>
      <c r="D14109">
        <v>18338.86</v>
      </c>
    </row>
    <row r="14110" spans="1:4" hidden="1" x14ac:dyDescent="0.25">
      <c r="A14110" t="s">
        <v>720</v>
      </c>
      <c r="B14110" t="s">
        <v>73</v>
      </c>
      <c r="C14110" s="2">
        <f>HYPERLINK("https://sao.dolgi.msk.ru/account/1404088437/", 1404088437)</f>
        <v>1404088437</v>
      </c>
      <c r="D14110">
        <v>-6238.25</v>
      </c>
    </row>
    <row r="14111" spans="1:4" x14ac:dyDescent="0.25">
      <c r="A14111" t="s">
        <v>720</v>
      </c>
      <c r="B14111" t="s">
        <v>74</v>
      </c>
      <c r="C14111" s="2">
        <f>HYPERLINK("https://sao.dolgi.msk.ru/account/1404085885/", 1404085885)</f>
        <v>1404085885</v>
      </c>
      <c r="D14111">
        <v>4789.55</v>
      </c>
    </row>
    <row r="14112" spans="1:4" hidden="1" x14ac:dyDescent="0.25">
      <c r="A14112" t="s">
        <v>720</v>
      </c>
      <c r="B14112" t="s">
        <v>75</v>
      </c>
      <c r="C14112" s="2">
        <f>HYPERLINK("https://sao.dolgi.msk.ru/account/1404087709/", 1404087709)</f>
        <v>1404087709</v>
      </c>
      <c r="D14112">
        <v>-9507.7999999999993</v>
      </c>
    </row>
    <row r="14113" spans="1:4" hidden="1" x14ac:dyDescent="0.25">
      <c r="A14113" t="s">
        <v>720</v>
      </c>
      <c r="B14113" t="s">
        <v>76</v>
      </c>
      <c r="C14113" s="2">
        <f>HYPERLINK("https://sao.dolgi.msk.ru/account/1404089368/", 1404089368)</f>
        <v>1404089368</v>
      </c>
      <c r="D14113">
        <v>-5098.43</v>
      </c>
    </row>
    <row r="14114" spans="1:4" x14ac:dyDescent="0.25">
      <c r="A14114" t="s">
        <v>720</v>
      </c>
      <c r="B14114" t="s">
        <v>77</v>
      </c>
      <c r="C14114" s="2">
        <f>HYPERLINK("https://sao.dolgi.msk.ru/account/1404090203/", 1404090203)</f>
        <v>1404090203</v>
      </c>
      <c r="D14114">
        <v>4605.62</v>
      </c>
    </row>
    <row r="14115" spans="1:4" hidden="1" x14ac:dyDescent="0.25">
      <c r="A14115" t="s">
        <v>720</v>
      </c>
      <c r="B14115" t="s">
        <v>78</v>
      </c>
      <c r="C14115" s="2">
        <f>HYPERLINK("https://sao.dolgi.msk.ru/account/1404085754/", 1404085754)</f>
        <v>1404085754</v>
      </c>
      <c r="D14115">
        <v>0</v>
      </c>
    </row>
    <row r="14116" spans="1:4" hidden="1" x14ac:dyDescent="0.25">
      <c r="A14116" t="s">
        <v>720</v>
      </c>
      <c r="B14116" t="s">
        <v>79</v>
      </c>
      <c r="C14116" s="2">
        <f>HYPERLINK("https://sao.dolgi.msk.ru/account/1404086423/", 1404086423)</f>
        <v>1404086423</v>
      </c>
      <c r="D14116">
        <v>-131.78</v>
      </c>
    </row>
    <row r="14117" spans="1:4" x14ac:dyDescent="0.25">
      <c r="A14117" t="s">
        <v>720</v>
      </c>
      <c r="B14117" t="s">
        <v>80</v>
      </c>
      <c r="C14117" s="2">
        <f>HYPERLINK("https://sao.dolgi.msk.ru/account/1404090385/", 1404090385)</f>
        <v>1404090385</v>
      </c>
      <c r="D14117">
        <v>209775.77</v>
      </c>
    </row>
    <row r="14118" spans="1:4" hidden="1" x14ac:dyDescent="0.25">
      <c r="A14118" t="s">
        <v>720</v>
      </c>
      <c r="B14118" t="s">
        <v>81</v>
      </c>
      <c r="C14118" s="2">
        <f>HYPERLINK("https://sao.dolgi.msk.ru/account/1404086036/", 1404086036)</f>
        <v>1404086036</v>
      </c>
      <c r="D14118">
        <v>-8265.6</v>
      </c>
    </row>
    <row r="14119" spans="1:4" hidden="1" x14ac:dyDescent="0.25">
      <c r="A14119" t="s">
        <v>720</v>
      </c>
      <c r="B14119" t="s">
        <v>82</v>
      </c>
      <c r="C14119" s="2">
        <f>HYPERLINK("https://sao.dolgi.msk.ru/account/1404086175/", 1404086175)</f>
        <v>1404086175</v>
      </c>
      <c r="D14119">
        <v>0</v>
      </c>
    </row>
    <row r="14120" spans="1:4" hidden="1" x14ac:dyDescent="0.25">
      <c r="A14120" t="s">
        <v>720</v>
      </c>
      <c r="B14120" t="s">
        <v>83</v>
      </c>
      <c r="C14120" s="2">
        <f>HYPERLINK("https://sao.dolgi.msk.ru/account/1404085252/", 1404085252)</f>
        <v>1404085252</v>
      </c>
      <c r="D14120">
        <v>-191</v>
      </c>
    </row>
    <row r="14121" spans="1:4" hidden="1" x14ac:dyDescent="0.25">
      <c r="A14121" t="s">
        <v>720</v>
      </c>
      <c r="B14121" t="s">
        <v>84</v>
      </c>
      <c r="C14121" s="2">
        <f>HYPERLINK("https://sao.dolgi.msk.ru/account/1404088429/", 1404088429)</f>
        <v>1404088429</v>
      </c>
      <c r="D14121">
        <v>-687.88</v>
      </c>
    </row>
    <row r="14122" spans="1:4" hidden="1" x14ac:dyDescent="0.25">
      <c r="A14122" t="s">
        <v>720</v>
      </c>
      <c r="B14122" t="s">
        <v>85</v>
      </c>
      <c r="C14122" s="2">
        <f>HYPERLINK("https://sao.dolgi.msk.ru/account/1404085105/", 1404085105)</f>
        <v>1404085105</v>
      </c>
      <c r="D14122">
        <v>-2175.69</v>
      </c>
    </row>
    <row r="14123" spans="1:4" hidden="1" x14ac:dyDescent="0.25">
      <c r="A14123" t="s">
        <v>720</v>
      </c>
      <c r="B14123" t="s">
        <v>86</v>
      </c>
      <c r="C14123" s="2">
        <f>HYPERLINK("https://sao.dolgi.msk.ru/account/1404085586/", 1404085586)</f>
        <v>1404085586</v>
      </c>
      <c r="D14123">
        <v>-122.7</v>
      </c>
    </row>
    <row r="14124" spans="1:4" hidden="1" x14ac:dyDescent="0.25">
      <c r="A14124" t="s">
        <v>720</v>
      </c>
      <c r="B14124" t="s">
        <v>87</v>
      </c>
      <c r="C14124" s="2">
        <f>HYPERLINK("https://sao.dolgi.msk.ru/account/1404090174/", 1404090174)</f>
        <v>1404090174</v>
      </c>
      <c r="D14124">
        <v>0</v>
      </c>
    </row>
    <row r="14125" spans="1:4" x14ac:dyDescent="0.25">
      <c r="A14125" t="s">
        <v>720</v>
      </c>
      <c r="B14125" t="s">
        <v>88</v>
      </c>
      <c r="C14125" s="2">
        <f>HYPERLINK("https://sao.dolgi.msk.ru/account/1404088365/", 1404088365)</f>
        <v>1404088365</v>
      </c>
      <c r="D14125">
        <v>12117.97</v>
      </c>
    </row>
    <row r="14126" spans="1:4" hidden="1" x14ac:dyDescent="0.25">
      <c r="A14126" t="s">
        <v>720</v>
      </c>
      <c r="B14126" t="s">
        <v>89</v>
      </c>
      <c r="C14126" s="2">
        <f>HYPERLINK("https://sao.dolgi.msk.ru/account/1404087936/", 1404087936)</f>
        <v>1404087936</v>
      </c>
      <c r="D14126">
        <v>-6855.23</v>
      </c>
    </row>
    <row r="14127" spans="1:4" x14ac:dyDescent="0.25">
      <c r="A14127" t="s">
        <v>720</v>
      </c>
      <c r="B14127" t="s">
        <v>90</v>
      </c>
      <c r="C14127" s="2">
        <f>HYPERLINK("https://sao.dolgi.msk.ru/account/1404089448/", 1404089448)</f>
        <v>1404089448</v>
      </c>
      <c r="D14127">
        <v>3211.16</v>
      </c>
    </row>
    <row r="14128" spans="1:4" hidden="1" x14ac:dyDescent="0.25">
      <c r="A14128" t="s">
        <v>720</v>
      </c>
      <c r="B14128" t="s">
        <v>91</v>
      </c>
      <c r="C14128" s="2">
        <f>HYPERLINK("https://sao.dolgi.msk.ru/account/1404085551/", 1404085551)</f>
        <v>1404085551</v>
      </c>
      <c r="D14128">
        <v>-581.32000000000005</v>
      </c>
    </row>
    <row r="14129" spans="1:4" hidden="1" x14ac:dyDescent="0.25">
      <c r="A14129" t="s">
        <v>720</v>
      </c>
      <c r="B14129" t="s">
        <v>92</v>
      </c>
      <c r="C14129" s="2">
        <f>HYPERLINK("https://sao.dolgi.msk.ru/account/1404085308/", 1404085308)</f>
        <v>1404085308</v>
      </c>
      <c r="D14129">
        <v>-3413.06</v>
      </c>
    </row>
    <row r="14130" spans="1:4" hidden="1" x14ac:dyDescent="0.25">
      <c r="A14130" t="s">
        <v>720</v>
      </c>
      <c r="B14130" t="s">
        <v>93</v>
      </c>
      <c r="C14130" s="2">
        <f>HYPERLINK("https://sao.dolgi.msk.ru/account/1404088787/", 1404088787)</f>
        <v>1404088787</v>
      </c>
      <c r="D14130">
        <v>-14775.62</v>
      </c>
    </row>
    <row r="14131" spans="1:4" hidden="1" x14ac:dyDescent="0.25">
      <c r="A14131" t="s">
        <v>720</v>
      </c>
      <c r="B14131" t="s">
        <v>94</v>
      </c>
      <c r="C14131" s="2">
        <f>HYPERLINK("https://sao.dolgi.msk.ru/account/1404087784/", 1404087784)</f>
        <v>1404087784</v>
      </c>
      <c r="D14131">
        <v>-5504.39</v>
      </c>
    </row>
    <row r="14132" spans="1:4" hidden="1" x14ac:dyDescent="0.25">
      <c r="A14132" t="s">
        <v>720</v>
      </c>
      <c r="B14132" t="s">
        <v>95</v>
      </c>
      <c r="C14132" s="2">
        <f>HYPERLINK("https://sao.dolgi.msk.ru/account/1404087143/", 1404087143)</f>
        <v>1404087143</v>
      </c>
      <c r="D14132">
        <v>-4075.28</v>
      </c>
    </row>
    <row r="14133" spans="1:4" hidden="1" x14ac:dyDescent="0.25">
      <c r="A14133" t="s">
        <v>720</v>
      </c>
      <c r="B14133" t="s">
        <v>96</v>
      </c>
      <c r="C14133" s="2">
        <f>HYPERLINK("https://sao.dolgi.msk.ru/account/1404085404/", 1404085404)</f>
        <v>1404085404</v>
      </c>
      <c r="D14133">
        <v>-7402.33</v>
      </c>
    </row>
    <row r="14134" spans="1:4" hidden="1" x14ac:dyDescent="0.25">
      <c r="A14134" t="s">
        <v>720</v>
      </c>
      <c r="B14134" t="s">
        <v>97</v>
      </c>
      <c r="C14134" s="2">
        <f>HYPERLINK("https://sao.dolgi.msk.ru/account/1404087178/", 1404087178)</f>
        <v>1404087178</v>
      </c>
      <c r="D14134">
        <v>-4058.13</v>
      </c>
    </row>
    <row r="14135" spans="1:4" hidden="1" x14ac:dyDescent="0.25">
      <c r="A14135" t="s">
        <v>720</v>
      </c>
      <c r="B14135" t="s">
        <v>98</v>
      </c>
      <c r="C14135" s="2">
        <f>HYPERLINK("https://sao.dolgi.msk.ru/account/1404088488/", 1404088488)</f>
        <v>1404088488</v>
      </c>
      <c r="D14135">
        <v>-2942.67</v>
      </c>
    </row>
    <row r="14136" spans="1:4" hidden="1" x14ac:dyDescent="0.25">
      <c r="A14136" t="s">
        <v>720</v>
      </c>
      <c r="B14136" t="s">
        <v>99</v>
      </c>
      <c r="C14136" s="2">
        <f>HYPERLINK("https://sao.dolgi.msk.ru/account/1404088605/", 1404088605)</f>
        <v>1404088605</v>
      </c>
      <c r="D14136">
        <v>-4204.33</v>
      </c>
    </row>
    <row r="14137" spans="1:4" hidden="1" x14ac:dyDescent="0.25">
      <c r="A14137" t="s">
        <v>720</v>
      </c>
      <c r="B14137" t="s">
        <v>100</v>
      </c>
      <c r="C14137" s="2">
        <f>HYPERLINK("https://sao.dolgi.msk.ru/account/1404088234/", 1404088234)</f>
        <v>1404088234</v>
      </c>
      <c r="D14137">
        <v>0</v>
      </c>
    </row>
    <row r="14138" spans="1:4" hidden="1" x14ac:dyDescent="0.25">
      <c r="A14138" t="s">
        <v>720</v>
      </c>
      <c r="B14138" t="s">
        <v>101</v>
      </c>
      <c r="C14138" s="2">
        <f>HYPERLINK("https://sao.dolgi.msk.ru/account/1404088242/", 1404088242)</f>
        <v>1404088242</v>
      </c>
      <c r="D14138">
        <v>-618.94000000000005</v>
      </c>
    </row>
    <row r="14139" spans="1:4" x14ac:dyDescent="0.25">
      <c r="A14139" t="s">
        <v>720</v>
      </c>
      <c r="B14139" t="s">
        <v>102</v>
      </c>
      <c r="C14139" s="2">
        <f>HYPERLINK("https://sao.dolgi.msk.ru/account/1404089579/", 1404089579)</f>
        <v>1404089579</v>
      </c>
      <c r="D14139">
        <v>44711.65</v>
      </c>
    </row>
    <row r="14140" spans="1:4" hidden="1" x14ac:dyDescent="0.25">
      <c r="A14140" t="s">
        <v>720</v>
      </c>
      <c r="B14140" t="s">
        <v>103</v>
      </c>
      <c r="C14140" s="2">
        <f>HYPERLINK("https://sao.dolgi.msk.ru/account/1404086108/", 1404086108)</f>
        <v>1404086108</v>
      </c>
      <c r="D14140">
        <v>-7974</v>
      </c>
    </row>
    <row r="14141" spans="1:4" x14ac:dyDescent="0.25">
      <c r="A14141" t="s">
        <v>720</v>
      </c>
      <c r="B14141" t="s">
        <v>104</v>
      </c>
      <c r="C14141" s="2">
        <f>HYPERLINK("https://sao.dolgi.msk.ru/account/1404086749/", 1404086749)</f>
        <v>1404086749</v>
      </c>
      <c r="D14141">
        <v>10785.56</v>
      </c>
    </row>
    <row r="14142" spans="1:4" x14ac:dyDescent="0.25">
      <c r="A14142" t="s">
        <v>720</v>
      </c>
      <c r="B14142" t="s">
        <v>105</v>
      </c>
      <c r="C14142" s="2">
        <f>HYPERLINK("https://sao.dolgi.msk.ru/account/1404085578/", 1404085578)</f>
        <v>1404085578</v>
      </c>
      <c r="D14142">
        <v>14395.83</v>
      </c>
    </row>
    <row r="14143" spans="1:4" hidden="1" x14ac:dyDescent="0.25">
      <c r="A14143" t="s">
        <v>720</v>
      </c>
      <c r="B14143" t="s">
        <v>106</v>
      </c>
      <c r="C14143" s="2">
        <f>HYPERLINK("https://sao.dolgi.msk.ru/account/1404087792/", 1404087792)</f>
        <v>1404087792</v>
      </c>
      <c r="D14143">
        <v>-3516.24</v>
      </c>
    </row>
    <row r="14144" spans="1:4" hidden="1" x14ac:dyDescent="0.25">
      <c r="A14144" t="s">
        <v>720</v>
      </c>
      <c r="B14144" t="s">
        <v>107</v>
      </c>
      <c r="C14144" s="2">
        <f>HYPERLINK("https://sao.dolgi.msk.ru/account/1404085674/", 1404085674)</f>
        <v>1404085674</v>
      </c>
      <c r="D14144">
        <v>-6084.41</v>
      </c>
    </row>
    <row r="14145" spans="1:4" hidden="1" x14ac:dyDescent="0.25">
      <c r="A14145" t="s">
        <v>720</v>
      </c>
      <c r="B14145" t="s">
        <v>108</v>
      </c>
      <c r="C14145" s="2">
        <f>HYPERLINK("https://sao.dolgi.msk.ru/account/1404086351/", 1404086351)</f>
        <v>1404086351</v>
      </c>
      <c r="D14145">
        <v>-6591.31</v>
      </c>
    </row>
    <row r="14146" spans="1:4" hidden="1" x14ac:dyDescent="0.25">
      <c r="A14146" t="s">
        <v>720</v>
      </c>
      <c r="B14146" t="s">
        <v>109</v>
      </c>
      <c r="C14146" s="2">
        <f>HYPERLINK("https://sao.dolgi.msk.ru/account/1404085527/", 1404085527)</f>
        <v>1404085527</v>
      </c>
      <c r="D14146">
        <v>-6516.03</v>
      </c>
    </row>
    <row r="14147" spans="1:4" hidden="1" x14ac:dyDescent="0.25">
      <c r="A14147" t="s">
        <v>720</v>
      </c>
      <c r="B14147" t="s">
        <v>110</v>
      </c>
      <c r="C14147" s="2">
        <f>HYPERLINK("https://sao.dolgi.msk.ru/account/1404085279/", 1404085279)</f>
        <v>1404085279</v>
      </c>
      <c r="D14147">
        <v>-12232.25</v>
      </c>
    </row>
    <row r="14148" spans="1:4" x14ac:dyDescent="0.25">
      <c r="A14148" t="s">
        <v>720</v>
      </c>
      <c r="B14148" t="s">
        <v>111</v>
      </c>
      <c r="C14148" s="2">
        <f>HYPERLINK("https://sao.dolgi.msk.ru/account/1404085682/", 1404085682)</f>
        <v>1404085682</v>
      </c>
      <c r="D14148">
        <v>4710.96</v>
      </c>
    </row>
    <row r="14149" spans="1:4" hidden="1" x14ac:dyDescent="0.25">
      <c r="A14149" t="s">
        <v>720</v>
      </c>
      <c r="B14149" t="s">
        <v>112</v>
      </c>
      <c r="C14149" s="2">
        <f>HYPERLINK("https://sao.dolgi.msk.ru/account/1404090094/", 1404090094)</f>
        <v>1404090094</v>
      </c>
      <c r="D14149">
        <v>-5033.41</v>
      </c>
    </row>
    <row r="14150" spans="1:4" hidden="1" x14ac:dyDescent="0.25">
      <c r="A14150" t="s">
        <v>720</v>
      </c>
      <c r="B14150" t="s">
        <v>113</v>
      </c>
      <c r="C14150" s="2">
        <f>HYPERLINK("https://sao.dolgi.msk.ru/account/1404086976/", 1404086976)</f>
        <v>1404086976</v>
      </c>
      <c r="D14150">
        <v>-4608.6499999999996</v>
      </c>
    </row>
    <row r="14151" spans="1:4" hidden="1" x14ac:dyDescent="0.25">
      <c r="A14151" t="s">
        <v>720</v>
      </c>
      <c r="B14151" t="s">
        <v>114</v>
      </c>
      <c r="C14151" s="2">
        <f>HYPERLINK("https://sao.dolgi.msk.ru/account/1404085287/", 1404085287)</f>
        <v>1404085287</v>
      </c>
      <c r="D14151">
        <v>-5766.6</v>
      </c>
    </row>
    <row r="14152" spans="1:4" hidden="1" x14ac:dyDescent="0.25">
      <c r="A14152" t="s">
        <v>720</v>
      </c>
      <c r="B14152" t="s">
        <v>115</v>
      </c>
      <c r="C14152" s="2">
        <f>HYPERLINK("https://sao.dolgi.msk.ru/account/1404086204/", 1404086204)</f>
        <v>1404086204</v>
      </c>
      <c r="D14152">
        <v>-5493.64</v>
      </c>
    </row>
    <row r="14153" spans="1:4" hidden="1" x14ac:dyDescent="0.25">
      <c r="A14153" t="s">
        <v>720</v>
      </c>
      <c r="B14153" t="s">
        <v>116</v>
      </c>
      <c r="C14153" s="2">
        <f>HYPERLINK("https://sao.dolgi.msk.ru/account/1404089907/", 1404089907)</f>
        <v>1404089907</v>
      </c>
      <c r="D14153">
        <v>-7236.55</v>
      </c>
    </row>
    <row r="14154" spans="1:4" hidden="1" x14ac:dyDescent="0.25">
      <c r="A14154" t="s">
        <v>720</v>
      </c>
      <c r="B14154" t="s">
        <v>117</v>
      </c>
      <c r="C14154" s="2">
        <f>HYPERLINK("https://sao.dolgi.msk.ru/account/1404084786/", 1404084786)</f>
        <v>1404084786</v>
      </c>
      <c r="D14154">
        <v>-7698.98</v>
      </c>
    </row>
    <row r="14155" spans="1:4" hidden="1" x14ac:dyDescent="0.25">
      <c r="A14155" t="s">
        <v>720</v>
      </c>
      <c r="B14155" t="s">
        <v>118</v>
      </c>
      <c r="C14155" s="2">
        <f>HYPERLINK("https://sao.dolgi.msk.ru/account/1404084671/", 1404084671)</f>
        <v>1404084671</v>
      </c>
      <c r="D14155">
        <v>-4479.93</v>
      </c>
    </row>
    <row r="14156" spans="1:4" hidden="1" x14ac:dyDescent="0.25">
      <c r="A14156" t="s">
        <v>720</v>
      </c>
      <c r="B14156" t="s">
        <v>119</v>
      </c>
      <c r="C14156" s="2">
        <f>HYPERLINK("https://sao.dolgi.msk.ru/account/1404088496/", 1404088496)</f>
        <v>1404088496</v>
      </c>
      <c r="D14156">
        <v>-4868.12</v>
      </c>
    </row>
    <row r="14157" spans="1:4" x14ac:dyDescent="0.25">
      <c r="A14157" t="s">
        <v>720</v>
      </c>
      <c r="B14157" t="s">
        <v>120</v>
      </c>
      <c r="C14157" s="2">
        <f>HYPERLINK("https://sao.dolgi.msk.ru/account/1404088752/", 1404088752)</f>
        <v>1404088752</v>
      </c>
      <c r="D14157">
        <v>34985.67</v>
      </c>
    </row>
    <row r="14158" spans="1:4" hidden="1" x14ac:dyDescent="0.25">
      <c r="A14158" t="s">
        <v>720</v>
      </c>
      <c r="B14158" t="s">
        <v>121</v>
      </c>
      <c r="C14158" s="2">
        <f>HYPERLINK("https://sao.dolgi.msk.ru/account/1404086984/", 1404086984)</f>
        <v>1404086984</v>
      </c>
      <c r="D14158">
        <v>-5766.51</v>
      </c>
    </row>
    <row r="14159" spans="1:4" hidden="1" x14ac:dyDescent="0.25">
      <c r="A14159" t="s">
        <v>720</v>
      </c>
      <c r="B14159" t="s">
        <v>122</v>
      </c>
      <c r="C14159" s="2">
        <f>HYPERLINK("https://sao.dolgi.msk.ru/account/1404084735/", 1404084735)</f>
        <v>1404084735</v>
      </c>
      <c r="D14159">
        <v>-4637.09</v>
      </c>
    </row>
    <row r="14160" spans="1:4" hidden="1" x14ac:dyDescent="0.25">
      <c r="A14160" t="s">
        <v>720</v>
      </c>
      <c r="B14160" t="s">
        <v>123</v>
      </c>
      <c r="C14160" s="2">
        <f>HYPERLINK("https://sao.dolgi.msk.ru/account/1404089034/", 1404089034)</f>
        <v>1404089034</v>
      </c>
      <c r="D14160">
        <v>-478.71</v>
      </c>
    </row>
    <row r="14161" spans="1:4" hidden="1" x14ac:dyDescent="0.25">
      <c r="A14161" t="s">
        <v>720</v>
      </c>
      <c r="B14161" t="s">
        <v>124</v>
      </c>
      <c r="C14161" s="2">
        <f>HYPERLINK("https://sao.dolgi.msk.ru/account/1404088074/", 1404088074)</f>
        <v>1404088074</v>
      </c>
      <c r="D14161">
        <v>-8510.93</v>
      </c>
    </row>
    <row r="14162" spans="1:4" hidden="1" x14ac:dyDescent="0.25">
      <c r="A14162" t="s">
        <v>720</v>
      </c>
      <c r="B14162" t="s">
        <v>125</v>
      </c>
      <c r="C14162" s="2">
        <f>HYPERLINK("https://sao.dolgi.msk.ru/account/1404087012/", 1404087012)</f>
        <v>1404087012</v>
      </c>
      <c r="D14162">
        <v>-200.44</v>
      </c>
    </row>
    <row r="14163" spans="1:4" hidden="1" x14ac:dyDescent="0.25">
      <c r="A14163" t="s">
        <v>720</v>
      </c>
      <c r="B14163" t="s">
        <v>126</v>
      </c>
      <c r="C14163" s="2">
        <f>HYPERLINK("https://sao.dolgi.msk.ru/account/1404087231/", 1404087231)</f>
        <v>1404087231</v>
      </c>
      <c r="D14163">
        <v>-5068.88</v>
      </c>
    </row>
    <row r="14164" spans="1:4" hidden="1" x14ac:dyDescent="0.25">
      <c r="A14164" t="s">
        <v>720</v>
      </c>
      <c r="B14164" t="s">
        <v>127</v>
      </c>
      <c r="C14164" s="2">
        <f>HYPERLINK("https://sao.dolgi.msk.ru/account/1404084989/", 1404084989)</f>
        <v>1404084989</v>
      </c>
      <c r="D14164">
        <v>-15426.93</v>
      </c>
    </row>
    <row r="14165" spans="1:4" hidden="1" x14ac:dyDescent="0.25">
      <c r="A14165" t="s">
        <v>720</v>
      </c>
      <c r="B14165" t="s">
        <v>128</v>
      </c>
      <c r="C14165" s="2">
        <f>HYPERLINK("https://sao.dolgi.msk.ru/account/1404086343/", 1404086343)</f>
        <v>1404086343</v>
      </c>
      <c r="D14165">
        <v>-3903.59</v>
      </c>
    </row>
    <row r="14166" spans="1:4" x14ac:dyDescent="0.25">
      <c r="A14166" t="s">
        <v>720</v>
      </c>
      <c r="B14166" t="s">
        <v>129</v>
      </c>
      <c r="C14166" s="2">
        <f>HYPERLINK("https://sao.dolgi.msk.ru/account/1404087362/", 1404087362)</f>
        <v>1404087362</v>
      </c>
      <c r="D14166">
        <v>9019.16</v>
      </c>
    </row>
    <row r="14167" spans="1:4" x14ac:dyDescent="0.25">
      <c r="A14167" t="s">
        <v>720</v>
      </c>
      <c r="B14167" t="s">
        <v>130</v>
      </c>
      <c r="C14167" s="2">
        <f>HYPERLINK("https://sao.dolgi.msk.ru/account/1404089288/", 1404089288)</f>
        <v>1404089288</v>
      </c>
      <c r="D14167">
        <v>18676.099999999999</v>
      </c>
    </row>
    <row r="14168" spans="1:4" hidden="1" x14ac:dyDescent="0.25">
      <c r="A14168" t="s">
        <v>720</v>
      </c>
      <c r="B14168" t="s">
        <v>131</v>
      </c>
      <c r="C14168" s="2">
        <f>HYPERLINK("https://sao.dolgi.msk.ru/account/1404090334/", 1404090334)</f>
        <v>1404090334</v>
      </c>
      <c r="D14168">
        <v>0</v>
      </c>
    </row>
    <row r="14169" spans="1:4" hidden="1" x14ac:dyDescent="0.25">
      <c r="A14169" t="s">
        <v>720</v>
      </c>
      <c r="B14169" t="s">
        <v>132</v>
      </c>
      <c r="C14169" s="2">
        <f>HYPERLINK("https://sao.dolgi.msk.ru/account/1404086626/", 1404086626)</f>
        <v>1404086626</v>
      </c>
      <c r="D14169">
        <v>-4254.26</v>
      </c>
    </row>
    <row r="14170" spans="1:4" hidden="1" x14ac:dyDescent="0.25">
      <c r="A14170" t="s">
        <v>720</v>
      </c>
      <c r="B14170" t="s">
        <v>133</v>
      </c>
      <c r="C14170" s="2">
        <f>HYPERLINK("https://sao.dolgi.msk.ru/account/1404086642/", 1404086642)</f>
        <v>1404086642</v>
      </c>
      <c r="D14170">
        <v>-4898.25</v>
      </c>
    </row>
    <row r="14171" spans="1:4" hidden="1" x14ac:dyDescent="0.25">
      <c r="A14171" t="s">
        <v>720</v>
      </c>
      <c r="B14171" t="s">
        <v>134</v>
      </c>
      <c r="C14171" s="2">
        <f>HYPERLINK("https://sao.dolgi.msk.ru/account/1404088592/", 1404088592)</f>
        <v>1404088592</v>
      </c>
      <c r="D14171">
        <v>-5336.39</v>
      </c>
    </row>
    <row r="14172" spans="1:4" hidden="1" x14ac:dyDescent="0.25">
      <c r="A14172" t="s">
        <v>720</v>
      </c>
      <c r="B14172" t="s">
        <v>135</v>
      </c>
      <c r="C14172" s="2">
        <f>HYPERLINK("https://sao.dolgi.msk.ru/account/1404087418/", 1404087418)</f>
        <v>1404087418</v>
      </c>
      <c r="D14172">
        <v>-7516.38</v>
      </c>
    </row>
    <row r="14173" spans="1:4" hidden="1" x14ac:dyDescent="0.25">
      <c r="A14173" t="s">
        <v>720</v>
      </c>
      <c r="B14173" t="s">
        <v>136</v>
      </c>
      <c r="C14173" s="2">
        <f>HYPERLINK("https://sao.dolgi.msk.ru/account/1404087434/", 1404087434)</f>
        <v>1404087434</v>
      </c>
      <c r="D14173">
        <v>-5171.0200000000004</v>
      </c>
    </row>
    <row r="14174" spans="1:4" hidden="1" x14ac:dyDescent="0.25">
      <c r="A14174" t="s">
        <v>720</v>
      </c>
      <c r="B14174" t="s">
        <v>137</v>
      </c>
      <c r="C14174" s="2">
        <f>HYPERLINK("https://sao.dolgi.msk.ru/account/1404090377/", 1404090377)</f>
        <v>1404090377</v>
      </c>
      <c r="D14174">
        <v>-12229.05</v>
      </c>
    </row>
    <row r="14175" spans="1:4" hidden="1" x14ac:dyDescent="0.25">
      <c r="A14175" t="s">
        <v>720</v>
      </c>
      <c r="B14175" t="s">
        <v>138</v>
      </c>
      <c r="C14175" s="2">
        <f>HYPERLINK("https://sao.dolgi.msk.ru/account/1404294214/", 1404294214)</f>
        <v>1404294214</v>
      </c>
      <c r="D14175">
        <v>0</v>
      </c>
    </row>
    <row r="14176" spans="1:4" hidden="1" x14ac:dyDescent="0.25">
      <c r="A14176" t="s">
        <v>720</v>
      </c>
      <c r="B14176" t="s">
        <v>139</v>
      </c>
      <c r="C14176" s="2">
        <f>HYPERLINK("https://sao.dolgi.msk.ru/account/1404089018/", 1404089018)</f>
        <v>1404089018</v>
      </c>
      <c r="D14176">
        <v>-5245.39</v>
      </c>
    </row>
    <row r="14177" spans="1:4" x14ac:dyDescent="0.25">
      <c r="A14177" t="s">
        <v>720</v>
      </c>
      <c r="B14177" t="s">
        <v>140</v>
      </c>
      <c r="C14177" s="2">
        <f>HYPERLINK("https://sao.dolgi.msk.ru/account/1404086765/", 1404086765)</f>
        <v>1404086765</v>
      </c>
      <c r="D14177">
        <v>10129.84</v>
      </c>
    </row>
    <row r="14178" spans="1:4" hidden="1" x14ac:dyDescent="0.25">
      <c r="A14178" t="s">
        <v>720</v>
      </c>
      <c r="B14178" t="s">
        <v>141</v>
      </c>
      <c r="C14178" s="2">
        <f>HYPERLINK("https://sao.dolgi.msk.ru/account/1404084604/", 1404084604)</f>
        <v>1404084604</v>
      </c>
      <c r="D14178">
        <v>-3604.71</v>
      </c>
    </row>
    <row r="14179" spans="1:4" hidden="1" x14ac:dyDescent="0.25">
      <c r="A14179" t="s">
        <v>720</v>
      </c>
      <c r="B14179" t="s">
        <v>142</v>
      </c>
      <c r="C14179" s="2">
        <f>HYPERLINK("https://sao.dolgi.msk.ru/account/1404087653/", 1404087653)</f>
        <v>1404087653</v>
      </c>
      <c r="D14179">
        <v>-4717.5200000000004</v>
      </c>
    </row>
    <row r="14180" spans="1:4" hidden="1" x14ac:dyDescent="0.25">
      <c r="A14180" t="s">
        <v>720</v>
      </c>
      <c r="B14180" t="s">
        <v>143</v>
      </c>
      <c r="C14180" s="2">
        <f>HYPERLINK("https://sao.dolgi.msk.ru/account/1404087194/", 1404087194)</f>
        <v>1404087194</v>
      </c>
      <c r="D14180">
        <v>-4896.54</v>
      </c>
    </row>
    <row r="14181" spans="1:4" hidden="1" x14ac:dyDescent="0.25">
      <c r="A14181" t="s">
        <v>720</v>
      </c>
      <c r="B14181" t="s">
        <v>144</v>
      </c>
      <c r="C14181" s="2">
        <f>HYPERLINK("https://sao.dolgi.msk.ru/account/1404150464/", 1404150464)</f>
        <v>1404150464</v>
      </c>
      <c r="D14181">
        <v>-122.7</v>
      </c>
    </row>
    <row r="14182" spans="1:4" hidden="1" x14ac:dyDescent="0.25">
      <c r="A14182" t="s">
        <v>720</v>
      </c>
      <c r="B14182" t="s">
        <v>145</v>
      </c>
      <c r="C14182" s="2">
        <f>HYPERLINK("https://sao.dolgi.msk.ru/account/1404084583/", 1404084583)</f>
        <v>1404084583</v>
      </c>
      <c r="D14182">
        <v>-6281.87</v>
      </c>
    </row>
    <row r="14183" spans="1:4" hidden="1" x14ac:dyDescent="0.25">
      <c r="A14183" t="s">
        <v>720</v>
      </c>
      <c r="B14183" t="s">
        <v>146</v>
      </c>
      <c r="C14183" s="2">
        <f>HYPERLINK("https://sao.dolgi.msk.ru/account/1404087661/", 1404087661)</f>
        <v>1404087661</v>
      </c>
      <c r="D14183">
        <v>-364.38</v>
      </c>
    </row>
    <row r="14184" spans="1:4" hidden="1" x14ac:dyDescent="0.25">
      <c r="A14184" t="s">
        <v>720</v>
      </c>
      <c r="B14184" t="s">
        <v>147</v>
      </c>
      <c r="C14184" s="2">
        <f>HYPERLINK("https://sao.dolgi.msk.ru/account/1404087506/", 1404087506)</f>
        <v>1404087506</v>
      </c>
      <c r="D14184">
        <v>-3439.66</v>
      </c>
    </row>
    <row r="14185" spans="1:4" hidden="1" x14ac:dyDescent="0.25">
      <c r="A14185" t="s">
        <v>720</v>
      </c>
      <c r="B14185" t="s">
        <v>148</v>
      </c>
      <c r="C14185" s="2">
        <f>HYPERLINK("https://sao.dolgi.msk.ru/account/1404087514/", 1404087514)</f>
        <v>1404087514</v>
      </c>
      <c r="D14185">
        <v>-18809.57</v>
      </c>
    </row>
    <row r="14186" spans="1:4" hidden="1" x14ac:dyDescent="0.25">
      <c r="A14186" t="s">
        <v>720</v>
      </c>
      <c r="B14186" t="s">
        <v>149</v>
      </c>
      <c r="C14186" s="2">
        <f>HYPERLINK("https://sao.dolgi.msk.ru/account/1404087338/", 1404087338)</f>
        <v>1404087338</v>
      </c>
      <c r="D14186">
        <v>-1558.45</v>
      </c>
    </row>
    <row r="14187" spans="1:4" x14ac:dyDescent="0.25">
      <c r="A14187" t="s">
        <v>720</v>
      </c>
      <c r="B14187" t="s">
        <v>150</v>
      </c>
      <c r="C14187" s="2">
        <f>HYPERLINK("https://sao.dolgi.msk.ru/account/1404088517/", 1404088517)</f>
        <v>1404088517</v>
      </c>
      <c r="D14187">
        <v>17162.32</v>
      </c>
    </row>
    <row r="14188" spans="1:4" x14ac:dyDescent="0.25">
      <c r="A14188" t="s">
        <v>720</v>
      </c>
      <c r="B14188" t="s">
        <v>151</v>
      </c>
      <c r="C14188" s="2">
        <f>HYPERLINK("https://sao.dolgi.msk.ru/account/1404100782/", 1404100782)</f>
        <v>1404100782</v>
      </c>
      <c r="D14188">
        <v>5553.07</v>
      </c>
    </row>
    <row r="14189" spans="1:4" hidden="1" x14ac:dyDescent="0.25">
      <c r="A14189" t="s">
        <v>720</v>
      </c>
      <c r="B14189" t="s">
        <v>152</v>
      </c>
      <c r="C14189" s="2">
        <f>HYPERLINK("https://sao.dolgi.msk.ru/account/1404088904/", 1404088904)</f>
        <v>1404088904</v>
      </c>
      <c r="D14189">
        <v>-3991.17</v>
      </c>
    </row>
    <row r="14190" spans="1:4" hidden="1" x14ac:dyDescent="0.25">
      <c r="A14190" t="s">
        <v>720</v>
      </c>
      <c r="B14190" t="s">
        <v>153</v>
      </c>
      <c r="C14190" s="2">
        <f>HYPERLINK("https://sao.dolgi.msk.ru/account/1404086239/", 1404086239)</f>
        <v>1404086239</v>
      </c>
      <c r="D14190">
        <v>-4665.96</v>
      </c>
    </row>
    <row r="14191" spans="1:4" hidden="1" x14ac:dyDescent="0.25">
      <c r="A14191" t="s">
        <v>720</v>
      </c>
      <c r="B14191" t="s">
        <v>154</v>
      </c>
      <c r="C14191" s="2">
        <f>HYPERLINK("https://sao.dolgi.msk.ru/account/1404085797/", 1404085797)</f>
        <v>1404085797</v>
      </c>
      <c r="D14191">
        <v>-4321.17</v>
      </c>
    </row>
    <row r="14192" spans="1:4" hidden="1" x14ac:dyDescent="0.25">
      <c r="A14192" t="s">
        <v>720</v>
      </c>
      <c r="B14192" t="s">
        <v>155</v>
      </c>
      <c r="C14192" s="2">
        <f>HYPERLINK("https://sao.dolgi.msk.ru/account/1404087266/", 1404087266)</f>
        <v>1404087266</v>
      </c>
      <c r="D14192">
        <v>-595.44000000000005</v>
      </c>
    </row>
    <row r="14193" spans="1:4" hidden="1" x14ac:dyDescent="0.25">
      <c r="A14193" t="s">
        <v>720</v>
      </c>
      <c r="B14193" t="s">
        <v>156</v>
      </c>
      <c r="C14193" s="2">
        <f>HYPERLINK("https://sao.dolgi.msk.ru/account/1404086474/", 1404086474)</f>
        <v>1404086474</v>
      </c>
      <c r="D14193">
        <v>-3108.1</v>
      </c>
    </row>
    <row r="14194" spans="1:4" hidden="1" x14ac:dyDescent="0.25">
      <c r="A14194" t="s">
        <v>720</v>
      </c>
      <c r="B14194" t="s">
        <v>157</v>
      </c>
      <c r="C14194" s="2">
        <f>HYPERLINK("https://sao.dolgi.msk.ru/account/1404088277/", 1404088277)</f>
        <v>1404088277</v>
      </c>
      <c r="D14194">
        <v>-7776.39</v>
      </c>
    </row>
    <row r="14195" spans="1:4" hidden="1" x14ac:dyDescent="0.25">
      <c r="A14195" t="s">
        <v>720</v>
      </c>
      <c r="B14195" t="s">
        <v>158</v>
      </c>
      <c r="C14195" s="2">
        <f>HYPERLINK("https://sao.dolgi.msk.ru/account/1404087856/", 1404087856)</f>
        <v>1404087856</v>
      </c>
      <c r="D14195">
        <v>-6372.6</v>
      </c>
    </row>
    <row r="14196" spans="1:4" hidden="1" x14ac:dyDescent="0.25">
      <c r="A14196" t="s">
        <v>720</v>
      </c>
      <c r="B14196" t="s">
        <v>159</v>
      </c>
      <c r="C14196" s="2">
        <f>HYPERLINK("https://sao.dolgi.msk.ru/account/1404085658/", 1404085658)</f>
        <v>1404085658</v>
      </c>
      <c r="D14196">
        <v>-4473.8500000000004</v>
      </c>
    </row>
    <row r="14197" spans="1:4" hidden="1" x14ac:dyDescent="0.25">
      <c r="A14197" t="s">
        <v>720</v>
      </c>
      <c r="B14197" t="s">
        <v>160</v>
      </c>
      <c r="C14197" s="2">
        <f>HYPERLINK("https://sao.dolgi.msk.ru/account/1404086212/", 1404086212)</f>
        <v>1404086212</v>
      </c>
      <c r="D14197">
        <v>-9889.18</v>
      </c>
    </row>
    <row r="14198" spans="1:4" hidden="1" x14ac:dyDescent="0.25">
      <c r="A14198" t="s">
        <v>720</v>
      </c>
      <c r="B14198" t="s">
        <v>161</v>
      </c>
      <c r="C14198" s="2">
        <f>HYPERLINK("https://sao.dolgi.msk.ru/account/1404086562/", 1404086562)</f>
        <v>1404086562</v>
      </c>
      <c r="D14198">
        <v>-4618.43</v>
      </c>
    </row>
    <row r="14199" spans="1:4" hidden="1" x14ac:dyDescent="0.25">
      <c r="A14199" t="s">
        <v>720</v>
      </c>
      <c r="B14199" t="s">
        <v>162</v>
      </c>
      <c r="C14199" s="2">
        <f>HYPERLINK("https://sao.dolgi.msk.ru/account/1404084567/", 1404084567)</f>
        <v>1404084567</v>
      </c>
      <c r="D14199">
        <v>-578.22</v>
      </c>
    </row>
    <row r="14200" spans="1:4" hidden="1" x14ac:dyDescent="0.25">
      <c r="A14200" t="s">
        <v>720</v>
      </c>
      <c r="B14200" t="s">
        <v>163</v>
      </c>
      <c r="C14200" s="2">
        <f>HYPERLINK("https://sao.dolgi.msk.ru/account/1404086706/", 1404086706)</f>
        <v>1404086706</v>
      </c>
      <c r="D14200">
        <v>-4082.91</v>
      </c>
    </row>
    <row r="14201" spans="1:4" hidden="1" x14ac:dyDescent="0.25">
      <c r="A14201" t="s">
        <v>720</v>
      </c>
      <c r="B14201" t="s">
        <v>164</v>
      </c>
      <c r="C14201" s="2">
        <f>HYPERLINK("https://sao.dolgi.msk.ru/account/1404086052/", 1404086052)</f>
        <v>1404086052</v>
      </c>
      <c r="D14201">
        <v>0</v>
      </c>
    </row>
    <row r="14202" spans="1:4" hidden="1" x14ac:dyDescent="0.25">
      <c r="A14202" t="s">
        <v>720</v>
      </c>
      <c r="B14202" t="s">
        <v>165</v>
      </c>
      <c r="C14202" s="2">
        <f>HYPERLINK("https://sao.dolgi.msk.ru/account/1404085973/", 1404085973)</f>
        <v>1404085973</v>
      </c>
      <c r="D14202">
        <v>-11360.58</v>
      </c>
    </row>
    <row r="14203" spans="1:4" hidden="1" x14ac:dyDescent="0.25">
      <c r="A14203" t="s">
        <v>720</v>
      </c>
      <c r="B14203" t="s">
        <v>166</v>
      </c>
      <c r="C14203" s="2">
        <f>HYPERLINK("https://sao.dolgi.msk.ru/account/1404087354/", 1404087354)</f>
        <v>1404087354</v>
      </c>
      <c r="D14203">
        <v>-4679.07</v>
      </c>
    </row>
    <row r="14204" spans="1:4" hidden="1" x14ac:dyDescent="0.25">
      <c r="A14204" t="s">
        <v>720</v>
      </c>
      <c r="B14204" t="s">
        <v>167</v>
      </c>
      <c r="C14204" s="2">
        <f>HYPERLINK("https://sao.dolgi.msk.ru/account/1404087565/", 1404087565)</f>
        <v>1404087565</v>
      </c>
      <c r="D14204">
        <v>0</v>
      </c>
    </row>
    <row r="14205" spans="1:4" hidden="1" x14ac:dyDescent="0.25">
      <c r="A14205" t="s">
        <v>720</v>
      </c>
      <c r="B14205" t="s">
        <v>168</v>
      </c>
      <c r="C14205" s="2">
        <f>HYPERLINK("https://sao.dolgi.msk.ru/account/1404087725/", 1404087725)</f>
        <v>1404087725</v>
      </c>
      <c r="D14205">
        <v>-8367.1</v>
      </c>
    </row>
    <row r="14206" spans="1:4" hidden="1" x14ac:dyDescent="0.25">
      <c r="A14206" t="s">
        <v>720</v>
      </c>
      <c r="B14206" t="s">
        <v>169</v>
      </c>
      <c r="C14206" s="2">
        <f>HYPERLINK("https://sao.dolgi.msk.ru/account/1404086482/", 1404086482)</f>
        <v>1404086482</v>
      </c>
      <c r="D14206">
        <v>0</v>
      </c>
    </row>
    <row r="14207" spans="1:4" hidden="1" x14ac:dyDescent="0.25">
      <c r="A14207" t="s">
        <v>720</v>
      </c>
      <c r="B14207" t="s">
        <v>170</v>
      </c>
      <c r="C14207" s="2">
        <f>HYPERLINK("https://sao.dolgi.msk.ru/account/1404086466/", 1404086466)</f>
        <v>1404086466</v>
      </c>
      <c r="D14207">
        <v>-5880.97</v>
      </c>
    </row>
    <row r="14208" spans="1:4" hidden="1" x14ac:dyDescent="0.25">
      <c r="A14208" t="s">
        <v>720</v>
      </c>
      <c r="B14208" t="s">
        <v>171</v>
      </c>
      <c r="C14208" s="2">
        <f>HYPERLINK("https://sao.dolgi.msk.ru/account/1404087629/", 1404087629)</f>
        <v>1404087629</v>
      </c>
      <c r="D14208">
        <v>-25590.11</v>
      </c>
    </row>
    <row r="14209" spans="1:4" hidden="1" x14ac:dyDescent="0.25">
      <c r="A14209" t="s">
        <v>720</v>
      </c>
      <c r="B14209" t="s">
        <v>172</v>
      </c>
      <c r="C14209" s="2">
        <f>HYPERLINK("https://sao.dolgi.msk.ru/account/1404088867/", 1404088867)</f>
        <v>1404088867</v>
      </c>
      <c r="D14209">
        <v>-1764.28</v>
      </c>
    </row>
    <row r="14210" spans="1:4" hidden="1" x14ac:dyDescent="0.25">
      <c r="A14210" t="s">
        <v>720</v>
      </c>
      <c r="B14210" t="s">
        <v>173</v>
      </c>
      <c r="C14210" s="2">
        <f>HYPERLINK("https://sao.dolgi.msk.ru/account/1404088226/", 1404088226)</f>
        <v>1404088226</v>
      </c>
      <c r="D14210">
        <v>-6706.79</v>
      </c>
    </row>
    <row r="14211" spans="1:4" hidden="1" x14ac:dyDescent="0.25">
      <c r="A14211" t="s">
        <v>720</v>
      </c>
      <c r="B14211" t="s">
        <v>174</v>
      </c>
      <c r="C14211" s="2">
        <f>HYPERLINK("https://sao.dolgi.msk.ru/account/1404088285/", 1404088285)</f>
        <v>1404088285</v>
      </c>
      <c r="D14211">
        <v>-5441.24</v>
      </c>
    </row>
    <row r="14212" spans="1:4" hidden="1" x14ac:dyDescent="0.25">
      <c r="A14212" t="s">
        <v>720</v>
      </c>
      <c r="B14212" t="s">
        <v>175</v>
      </c>
      <c r="C14212" s="2">
        <f>HYPERLINK("https://sao.dolgi.msk.ru/account/1404088613/", 1404088613)</f>
        <v>1404088613</v>
      </c>
      <c r="D14212">
        <v>-8280.19</v>
      </c>
    </row>
    <row r="14213" spans="1:4" hidden="1" x14ac:dyDescent="0.25">
      <c r="A14213" t="s">
        <v>720</v>
      </c>
      <c r="B14213" t="s">
        <v>176</v>
      </c>
      <c r="C14213" s="2">
        <f>HYPERLINK("https://sao.dolgi.msk.ru/account/1404089894/", 1404089894)</f>
        <v>1404089894</v>
      </c>
      <c r="D14213">
        <v>-6217.98</v>
      </c>
    </row>
    <row r="14214" spans="1:4" hidden="1" x14ac:dyDescent="0.25">
      <c r="A14214" t="s">
        <v>720</v>
      </c>
      <c r="B14214" t="s">
        <v>177</v>
      </c>
      <c r="C14214" s="2">
        <f>HYPERLINK("https://sao.dolgi.msk.ru/account/1404085092/", 1404085092)</f>
        <v>1404085092</v>
      </c>
      <c r="D14214">
        <v>-2359.1999999999998</v>
      </c>
    </row>
    <row r="14215" spans="1:4" hidden="1" x14ac:dyDescent="0.25">
      <c r="A14215" t="s">
        <v>720</v>
      </c>
      <c r="B14215" t="s">
        <v>178</v>
      </c>
      <c r="C14215" s="2">
        <f>HYPERLINK("https://sao.dolgi.msk.ru/account/1404086618/", 1404086618)</f>
        <v>1404086618</v>
      </c>
      <c r="D14215">
        <v>-3293.43</v>
      </c>
    </row>
    <row r="14216" spans="1:4" hidden="1" x14ac:dyDescent="0.25">
      <c r="A14216" t="s">
        <v>720</v>
      </c>
      <c r="B14216" t="s">
        <v>179</v>
      </c>
      <c r="C14216" s="2">
        <f>HYPERLINK("https://sao.dolgi.msk.ru/account/1404088162/", 1404088162)</f>
        <v>1404088162</v>
      </c>
      <c r="D14216">
        <v>-3882.82</v>
      </c>
    </row>
    <row r="14217" spans="1:4" hidden="1" x14ac:dyDescent="0.25">
      <c r="A14217" t="s">
        <v>720</v>
      </c>
      <c r="B14217" t="s">
        <v>180</v>
      </c>
      <c r="C14217" s="2">
        <f>HYPERLINK("https://sao.dolgi.msk.ru/account/1404088154/", 1404088154)</f>
        <v>1404088154</v>
      </c>
      <c r="D14217">
        <v>-8638.56</v>
      </c>
    </row>
    <row r="14218" spans="1:4" hidden="1" x14ac:dyDescent="0.25">
      <c r="A14218" t="s">
        <v>720</v>
      </c>
      <c r="B14218" t="s">
        <v>181</v>
      </c>
      <c r="C14218" s="2">
        <f>HYPERLINK("https://sao.dolgi.msk.ru/account/1404087717/", 1404087717)</f>
        <v>1404087717</v>
      </c>
      <c r="D14218">
        <v>-8311.91</v>
      </c>
    </row>
    <row r="14219" spans="1:4" hidden="1" x14ac:dyDescent="0.25">
      <c r="A14219" t="s">
        <v>720</v>
      </c>
      <c r="B14219" t="s">
        <v>182</v>
      </c>
      <c r="C14219" s="2">
        <f>HYPERLINK("https://sao.dolgi.msk.ru/account/1404086685/", 1404086685)</f>
        <v>1404086685</v>
      </c>
      <c r="D14219">
        <v>-4107.54</v>
      </c>
    </row>
    <row r="14220" spans="1:4" hidden="1" x14ac:dyDescent="0.25">
      <c r="A14220" t="s">
        <v>720</v>
      </c>
      <c r="B14220" t="s">
        <v>183</v>
      </c>
      <c r="C14220" s="2">
        <f>HYPERLINK("https://sao.dolgi.msk.ru/account/1404085623/", 1404085623)</f>
        <v>1404085623</v>
      </c>
      <c r="D14220">
        <v>-2911.79</v>
      </c>
    </row>
    <row r="14221" spans="1:4" x14ac:dyDescent="0.25">
      <c r="A14221" t="s">
        <v>720</v>
      </c>
      <c r="B14221" t="s">
        <v>184</v>
      </c>
      <c r="C14221" s="2">
        <f>HYPERLINK("https://sao.dolgi.msk.ru/account/1404089245/", 1404089245)</f>
        <v>1404089245</v>
      </c>
      <c r="D14221">
        <v>9476.25</v>
      </c>
    </row>
    <row r="14222" spans="1:4" hidden="1" x14ac:dyDescent="0.25">
      <c r="A14222" t="s">
        <v>720</v>
      </c>
      <c r="B14222" t="s">
        <v>185</v>
      </c>
      <c r="C14222" s="2">
        <f>HYPERLINK("https://sao.dolgi.msk.ru/account/1404089114/", 1404089114)</f>
        <v>1404089114</v>
      </c>
      <c r="D14222">
        <v>-11132.35</v>
      </c>
    </row>
    <row r="14223" spans="1:4" hidden="1" x14ac:dyDescent="0.25">
      <c r="A14223" t="s">
        <v>720</v>
      </c>
      <c r="B14223" t="s">
        <v>186</v>
      </c>
      <c r="C14223" s="2">
        <f>HYPERLINK("https://sao.dolgi.msk.ru/account/1404088082/", 1404088082)</f>
        <v>1404088082</v>
      </c>
      <c r="D14223">
        <v>-3899.02</v>
      </c>
    </row>
    <row r="14224" spans="1:4" x14ac:dyDescent="0.25">
      <c r="A14224" t="s">
        <v>720</v>
      </c>
      <c r="B14224" t="s">
        <v>187</v>
      </c>
      <c r="C14224" s="2">
        <f>HYPERLINK("https://sao.dolgi.msk.ru/account/1404089157/", 1404089157)</f>
        <v>1404089157</v>
      </c>
      <c r="D14224">
        <v>2579.14</v>
      </c>
    </row>
    <row r="14225" spans="1:4" x14ac:dyDescent="0.25">
      <c r="A14225" t="s">
        <v>720</v>
      </c>
      <c r="B14225" t="s">
        <v>188</v>
      </c>
      <c r="C14225" s="2">
        <f>HYPERLINK("https://sao.dolgi.msk.ru/account/1404086845/", 1404086845)</f>
        <v>1404086845</v>
      </c>
      <c r="D14225">
        <v>13240.39</v>
      </c>
    </row>
    <row r="14226" spans="1:4" hidden="1" x14ac:dyDescent="0.25">
      <c r="A14226" t="s">
        <v>720</v>
      </c>
      <c r="B14226" t="s">
        <v>189</v>
      </c>
      <c r="C14226" s="2">
        <f>HYPERLINK("https://sao.dolgi.msk.ru/account/1404086861/", 1404086861)</f>
        <v>1404086861</v>
      </c>
      <c r="D14226">
        <v>0</v>
      </c>
    </row>
    <row r="14227" spans="1:4" hidden="1" x14ac:dyDescent="0.25">
      <c r="A14227" t="s">
        <v>720</v>
      </c>
      <c r="B14227" t="s">
        <v>190</v>
      </c>
      <c r="C14227" s="2">
        <f>HYPERLINK("https://sao.dolgi.msk.ru/account/1404085906/", 1404085906)</f>
        <v>1404085906</v>
      </c>
      <c r="D14227">
        <v>-9151.5499999999993</v>
      </c>
    </row>
    <row r="14228" spans="1:4" x14ac:dyDescent="0.25">
      <c r="A14228" t="s">
        <v>720</v>
      </c>
      <c r="B14228" t="s">
        <v>191</v>
      </c>
      <c r="C14228" s="2">
        <f>HYPERLINK("https://sao.dolgi.msk.ru/account/1404089931/", 1404089931)</f>
        <v>1404089931</v>
      </c>
      <c r="D14228">
        <v>3325.92</v>
      </c>
    </row>
    <row r="14229" spans="1:4" hidden="1" x14ac:dyDescent="0.25">
      <c r="A14229" t="s">
        <v>720</v>
      </c>
      <c r="B14229" t="s">
        <v>192</v>
      </c>
      <c r="C14229" s="2">
        <f>HYPERLINK("https://sao.dolgi.msk.ru/account/1404088672/", 1404088672)</f>
        <v>1404088672</v>
      </c>
      <c r="D14229">
        <v>-5023.75</v>
      </c>
    </row>
    <row r="14230" spans="1:4" x14ac:dyDescent="0.25">
      <c r="A14230" t="s">
        <v>720</v>
      </c>
      <c r="B14230" t="s">
        <v>193</v>
      </c>
      <c r="C14230" s="2">
        <f>HYPERLINK("https://sao.dolgi.msk.ru/account/1404085789/", 1404085789)</f>
        <v>1404085789</v>
      </c>
      <c r="D14230">
        <v>13832.95</v>
      </c>
    </row>
    <row r="14231" spans="1:4" x14ac:dyDescent="0.25">
      <c r="A14231" t="s">
        <v>720</v>
      </c>
      <c r="B14231" t="s">
        <v>194</v>
      </c>
      <c r="C14231" s="2">
        <f>HYPERLINK("https://sao.dolgi.msk.ru/account/1404090123/", 1404090123)</f>
        <v>1404090123</v>
      </c>
      <c r="D14231">
        <v>2587.81</v>
      </c>
    </row>
    <row r="14232" spans="1:4" hidden="1" x14ac:dyDescent="0.25">
      <c r="A14232" t="s">
        <v>720</v>
      </c>
      <c r="B14232" t="s">
        <v>195</v>
      </c>
      <c r="C14232" s="2">
        <f>HYPERLINK("https://sao.dolgi.msk.ru/account/1404089499/", 1404089499)</f>
        <v>1404089499</v>
      </c>
      <c r="D14232">
        <v>-12520.69</v>
      </c>
    </row>
    <row r="14233" spans="1:4" hidden="1" x14ac:dyDescent="0.25">
      <c r="A14233" t="s">
        <v>720</v>
      </c>
      <c r="B14233" t="s">
        <v>196</v>
      </c>
      <c r="C14233" s="2">
        <f>HYPERLINK("https://sao.dolgi.msk.ru/account/1404088795/", 1404088795)</f>
        <v>1404088795</v>
      </c>
      <c r="D14233">
        <v>-6601.29</v>
      </c>
    </row>
    <row r="14234" spans="1:4" hidden="1" x14ac:dyDescent="0.25">
      <c r="A14234" t="s">
        <v>720</v>
      </c>
      <c r="B14234" t="s">
        <v>197</v>
      </c>
      <c r="C14234" s="2">
        <f>HYPERLINK("https://sao.dolgi.msk.ru/account/1404085869/", 1404085869)</f>
        <v>1404085869</v>
      </c>
      <c r="D14234">
        <v>-1924.48</v>
      </c>
    </row>
    <row r="14235" spans="1:4" hidden="1" x14ac:dyDescent="0.25">
      <c r="A14235" t="s">
        <v>720</v>
      </c>
      <c r="B14235" t="s">
        <v>198</v>
      </c>
      <c r="C14235" s="2">
        <f>HYPERLINK("https://sao.dolgi.msk.ru/account/1404088138/", 1404088138)</f>
        <v>1404088138</v>
      </c>
      <c r="D14235">
        <v>-1231.6500000000001</v>
      </c>
    </row>
    <row r="14236" spans="1:4" hidden="1" x14ac:dyDescent="0.25">
      <c r="A14236" t="s">
        <v>720</v>
      </c>
      <c r="B14236" t="s">
        <v>199</v>
      </c>
      <c r="C14236" s="2">
        <f>HYPERLINK("https://sao.dolgi.msk.ru/account/1404085084/", 1404085084)</f>
        <v>1404085084</v>
      </c>
      <c r="D14236">
        <v>0</v>
      </c>
    </row>
    <row r="14237" spans="1:4" hidden="1" x14ac:dyDescent="0.25">
      <c r="A14237" t="s">
        <v>720</v>
      </c>
      <c r="B14237" t="s">
        <v>200</v>
      </c>
      <c r="C14237" s="2">
        <f>HYPERLINK("https://sao.dolgi.msk.ru/account/1404088197/", 1404088197)</f>
        <v>1404088197</v>
      </c>
      <c r="D14237">
        <v>-8027.54</v>
      </c>
    </row>
    <row r="14238" spans="1:4" hidden="1" x14ac:dyDescent="0.25">
      <c r="A14238" t="s">
        <v>720</v>
      </c>
      <c r="B14238" t="s">
        <v>201</v>
      </c>
      <c r="C14238" s="2">
        <f>HYPERLINK("https://sao.dolgi.msk.ru/account/1404085607/", 1404085607)</f>
        <v>1404085607</v>
      </c>
      <c r="D14238">
        <v>-6600.27</v>
      </c>
    </row>
    <row r="14239" spans="1:4" hidden="1" x14ac:dyDescent="0.25">
      <c r="A14239" t="s">
        <v>720</v>
      </c>
      <c r="B14239" t="s">
        <v>202</v>
      </c>
      <c r="C14239" s="2">
        <f>HYPERLINK("https://sao.dolgi.msk.ru/account/1404088699/", 1404088699)</f>
        <v>1404088699</v>
      </c>
      <c r="D14239">
        <v>-2499.34</v>
      </c>
    </row>
    <row r="14240" spans="1:4" hidden="1" x14ac:dyDescent="0.25">
      <c r="A14240" t="s">
        <v>720</v>
      </c>
      <c r="B14240" t="s">
        <v>203</v>
      </c>
      <c r="C14240" s="2">
        <f>HYPERLINK("https://sao.dolgi.msk.ru/account/1404088058/", 1404088058)</f>
        <v>1404088058</v>
      </c>
      <c r="D14240">
        <v>0</v>
      </c>
    </row>
    <row r="14241" spans="1:4" hidden="1" x14ac:dyDescent="0.25">
      <c r="A14241" t="s">
        <v>720</v>
      </c>
      <c r="B14241" t="s">
        <v>204</v>
      </c>
      <c r="C14241" s="2">
        <f>HYPERLINK("https://sao.dolgi.msk.ru/account/1404085818/", 1404085818)</f>
        <v>1404085818</v>
      </c>
      <c r="D14241">
        <v>-3367.28</v>
      </c>
    </row>
    <row r="14242" spans="1:4" x14ac:dyDescent="0.25">
      <c r="A14242" t="s">
        <v>720</v>
      </c>
      <c r="B14242" t="s">
        <v>205</v>
      </c>
      <c r="C14242" s="2">
        <f>HYPERLINK("https://sao.dolgi.msk.ru/account/1404087274/", 1404087274)</f>
        <v>1404087274</v>
      </c>
      <c r="D14242">
        <v>11863.56</v>
      </c>
    </row>
    <row r="14243" spans="1:4" hidden="1" x14ac:dyDescent="0.25">
      <c r="A14243" t="s">
        <v>720</v>
      </c>
      <c r="B14243" t="s">
        <v>206</v>
      </c>
      <c r="C14243" s="2">
        <f>HYPERLINK("https://sao.dolgi.msk.ru/account/1404085519/", 1404085519)</f>
        <v>1404085519</v>
      </c>
      <c r="D14243">
        <v>-315.08</v>
      </c>
    </row>
    <row r="14244" spans="1:4" x14ac:dyDescent="0.25">
      <c r="A14244" t="s">
        <v>720</v>
      </c>
      <c r="B14244" t="s">
        <v>207</v>
      </c>
      <c r="C14244" s="2">
        <f>HYPERLINK("https://sao.dolgi.msk.ru/account/1404084292/", 1404084292)</f>
        <v>1404084292</v>
      </c>
      <c r="D14244">
        <v>110772.19</v>
      </c>
    </row>
    <row r="14245" spans="1:4" hidden="1" x14ac:dyDescent="0.25">
      <c r="A14245" t="s">
        <v>720</v>
      </c>
      <c r="B14245" t="s">
        <v>208</v>
      </c>
      <c r="C14245" s="2">
        <f>HYPERLINK("https://sao.dolgi.msk.ru/account/1404086255/", 1404086255)</f>
        <v>1404086255</v>
      </c>
      <c r="D14245">
        <v>-8063.33</v>
      </c>
    </row>
    <row r="14246" spans="1:4" hidden="1" x14ac:dyDescent="0.25">
      <c r="A14246" t="s">
        <v>720</v>
      </c>
      <c r="B14246" t="s">
        <v>209</v>
      </c>
      <c r="C14246" s="2">
        <f>HYPERLINK("https://sao.dolgi.msk.ru/account/1404086327/", 1404086327)</f>
        <v>1404086327</v>
      </c>
      <c r="D14246">
        <v>-13967.8</v>
      </c>
    </row>
    <row r="14247" spans="1:4" hidden="1" x14ac:dyDescent="0.25">
      <c r="A14247" t="s">
        <v>720</v>
      </c>
      <c r="B14247" t="s">
        <v>210</v>
      </c>
      <c r="C14247" s="2">
        <f>HYPERLINK("https://sao.dolgi.msk.ru/account/1404086781/", 1404086781)</f>
        <v>1404086781</v>
      </c>
      <c r="D14247">
        <v>-5054.7299999999996</v>
      </c>
    </row>
    <row r="14248" spans="1:4" hidden="1" x14ac:dyDescent="0.25">
      <c r="A14248" t="s">
        <v>720</v>
      </c>
      <c r="B14248" t="s">
        <v>211</v>
      </c>
      <c r="C14248" s="2">
        <f>HYPERLINK("https://sao.dolgi.msk.ru/account/1404085877/", 1404085877)</f>
        <v>1404085877</v>
      </c>
      <c r="D14248">
        <v>-3273.56</v>
      </c>
    </row>
    <row r="14249" spans="1:4" hidden="1" x14ac:dyDescent="0.25">
      <c r="A14249" t="s">
        <v>720</v>
      </c>
      <c r="B14249" t="s">
        <v>212</v>
      </c>
      <c r="C14249" s="2">
        <f>HYPERLINK("https://sao.dolgi.msk.ru/account/1404090107/", 1404090107)</f>
        <v>1404090107</v>
      </c>
      <c r="D14249">
        <v>-618.6</v>
      </c>
    </row>
    <row r="14250" spans="1:4" hidden="1" x14ac:dyDescent="0.25">
      <c r="A14250" t="s">
        <v>720</v>
      </c>
      <c r="B14250" t="s">
        <v>213</v>
      </c>
      <c r="C14250" s="2">
        <f>HYPERLINK("https://sao.dolgi.msk.ru/account/1404085746/", 1404085746)</f>
        <v>1404085746</v>
      </c>
      <c r="D14250">
        <v>-5423.24</v>
      </c>
    </row>
    <row r="14251" spans="1:4" hidden="1" x14ac:dyDescent="0.25">
      <c r="A14251" t="s">
        <v>720</v>
      </c>
      <c r="B14251" t="s">
        <v>214</v>
      </c>
      <c r="C14251" s="2">
        <f>HYPERLINK("https://sao.dolgi.msk.ru/account/1404086933/", 1404086933)</f>
        <v>1404086933</v>
      </c>
      <c r="D14251">
        <v>-4884.97</v>
      </c>
    </row>
    <row r="14252" spans="1:4" hidden="1" x14ac:dyDescent="0.25">
      <c r="A14252" t="s">
        <v>720</v>
      </c>
      <c r="B14252" t="s">
        <v>215</v>
      </c>
      <c r="C14252" s="2">
        <f>HYPERLINK("https://sao.dolgi.msk.ru/account/1404085172/", 1404085172)</f>
        <v>1404085172</v>
      </c>
      <c r="D14252">
        <v>0</v>
      </c>
    </row>
    <row r="14253" spans="1:4" hidden="1" x14ac:dyDescent="0.25">
      <c r="A14253" t="s">
        <v>720</v>
      </c>
      <c r="B14253" t="s">
        <v>216</v>
      </c>
      <c r="C14253" s="2">
        <f>HYPERLINK("https://sao.dolgi.msk.ru/account/1404086853/", 1404086853)</f>
        <v>1404086853</v>
      </c>
      <c r="D14253">
        <v>-3973.64</v>
      </c>
    </row>
    <row r="14254" spans="1:4" hidden="1" x14ac:dyDescent="0.25">
      <c r="A14254" t="s">
        <v>720</v>
      </c>
      <c r="B14254" t="s">
        <v>217</v>
      </c>
      <c r="C14254" s="2">
        <f>HYPERLINK("https://sao.dolgi.msk.ru/account/1404086693/", 1404086693)</f>
        <v>1404086693</v>
      </c>
      <c r="D14254">
        <v>-2346.44</v>
      </c>
    </row>
    <row r="14255" spans="1:4" hidden="1" x14ac:dyDescent="0.25">
      <c r="A14255" t="s">
        <v>720</v>
      </c>
      <c r="B14255" t="s">
        <v>218</v>
      </c>
      <c r="C14255" s="2">
        <f>HYPERLINK("https://sao.dolgi.msk.ru/account/1404089544/", 1404089544)</f>
        <v>1404089544</v>
      </c>
      <c r="D14255">
        <v>-277.64999999999998</v>
      </c>
    </row>
    <row r="14256" spans="1:4" hidden="1" x14ac:dyDescent="0.25">
      <c r="A14256" t="s">
        <v>720</v>
      </c>
      <c r="B14256" t="s">
        <v>219</v>
      </c>
      <c r="C14256" s="2">
        <f>HYPERLINK("https://sao.dolgi.msk.ru/account/1404087004/", 1404087004)</f>
        <v>1404087004</v>
      </c>
      <c r="D14256">
        <v>0</v>
      </c>
    </row>
    <row r="14257" spans="1:4" hidden="1" x14ac:dyDescent="0.25">
      <c r="A14257" t="s">
        <v>720</v>
      </c>
      <c r="B14257" t="s">
        <v>220</v>
      </c>
      <c r="C14257" s="2">
        <f>HYPERLINK("https://sao.dolgi.msk.ru/account/1404085316/", 1404085316)</f>
        <v>1404085316</v>
      </c>
      <c r="D14257">
        <v>-5489.92</v>
      </c>
    </row>
    <row r="14258" spans="1:4" hidden="1" x14ac:dyDescent="0.25">
      <c r="A14258" t="s">
        <v>720</v>
      </c>
      <c r="B14258" t="s">
        <v>221</v>
      </c>
      <c r="C14258" s="2">
        <f>HYPERLINK("https://sao.dolgi.msk.ru/account/1404085324/", 1404085324)</f>
        <v>1404085324</v>
      </c>
      <c r="D14258">
        <v>-5639.08</v>
      </c>
    </row>
    <row r="14259" spans="1:4" hidden="1" x14ac:dyDescent="0.25">
      <c r="A14259" t="s">
        <v>720</v>
      </c>
      <c r="B14259" t="s">
        <v>222</v>
      </c>
      <c r="C14259" s="2">
        <f>HYPERLINK("https://sao.dolgi.msk.ru/account/1404086458/", 1404086458)</f>
        <v>1404086458</v>
      </c>
      <c r="D14259">
        <v>-7614.86</v>
      </c>
    </row>
    <row r="14260" spans="1:4" hidden="1" x14ac:dyDescent="0.25">
      <c r="A14260" t="s">
        <v>720</v>
      </c>
      <c r="B14260" t="s">
        <v>223</v>
      </c>
      <c r="C14260" s="2">
        <f>HYPERLINK("https://sao.dolgi.msk.ru/account/1404088031/", 1404088031)</f>
        <v>1404088031</v>
      </c>
      <c r="D14260">
        <v>0</v>
      </c>
    </row>
    <row r="14261" spans="1:4" hidden="1" x14ac:dyDescent="0.25">
      <c r="A14261" t="s">
        <v>720</v>
      </c>
      <c r="B14261" t="s">
        <v>224</v>
      </c>
      <c r="C14261" s="2">
        <f>HYPERLINK("https://sao.dolgi.msk.ru/account/1404086546/", 1404086546)</f>
        <v>1404086546</v>
      </c>
      <c r="D14261">
        <v>-2369.2800000000002</v>
      </c>
    </row>
    <row r="14262" spans="1:4" hidden="1" x14ac:dyDescent="0.25">
      <c r="A14262" t="s">
        <v>720</v>
      </c>
      <c r="B14262" t="s">
        <v>225</v>
      </c>
      <c r="C14262" s="2">
        <f>HYPERLINK("https://sao.dolgi.msk.ru/account/1404084647/", 1404084647)</f>
        <v>1404084647</v>
      </c>
      <c r="D14262">
        <v>-11230.34</v>
      </c>
    </row>
    <row r="14263" spans="1:4" hidden="1" x14ac:dyDescent="0.25">
      <c r="A14263" t="s">
        <v>720</v>
      </c>
      <c r="B14263" t="s">
        <v>226</v>
      </c>
      <c r="C14263" s="2">
        <f>HYPERLINK("https://sao.dolgi.msk.ru/account/1404087098/", 1404087098)</f>
        <v>1404087098</v>
      </c>
      <c r="D14263">
        <v>-1231.6500000000001</v>
      </c>
    </row>
    <row r="14264" spans="1:4" hidden="1" x14ac:dyDescent="0.25">
      <c r="A14264" t="s">
        <v>720</v>
      </c>
      <c r="B14264" t="s">
        <v>227</v>
      </c>
      <c r="C14264" s="2">
        <f>HYPERLINK("https://sao.dolgi.msk.ru/account/1404087493/", 1404087493)</f>
        <v>1404087493</v>
      </c>
      <c r="D14264">
        <v>-5717</v>
      </c>
    </row>
    <row r="14265" spans="1:4" hidden="1" x14ac:dyDescent="0.25">
      <c r="A14265" t="s">
        <v>720</v>
      </c>
      <c r="B14265" t="s">
        <v>228</v>
      </c>
      <c r="C14265" s="2">
        <f>HYPERLINK("https://sao.dolgi.msk.ru/account/1404087637/", 1404087637)</f>
        <v>1404087637</v>
      </c>
      <c r="D14265">
        <v>-8557.1299999999992</v>
      </c>
    </row>
    <row r="14266" spans="1:4" hidden="1" x14ac:dyDescent="0.25">
      <c r="A14266" t="s">
        <v>720</v>
      </c>
      <c r="B14266" t="s">
        <v>229</v>
      </c>
      <c r="C14266" s="2">
        <f>HYPERLINK("https://sao.dolgi.msk.ru/account/1404085148/", 1404085148)</f>
        <v>1404085148</v>
      </c>
      <c r="D14266">
        <v>-4142.6499999999996</v>
      </c>
    </row>
    <row r="14267" spans="1:4" x14ac:dyDescent="0.25">
      <c r="A14267" t="s">
        <v>720</v>
      </c>
      <c r="B14267" t="s">
        <v>229</v>
      </c>
      <c r="C14267" s="2">
        <f>HYPERLINK("https://sao.dolgi.msk.ru/account/1404090633/", 1404090633)</f>
        <v>1404090633</v>
      </c>
      <c r="D14267">
        <v>1418.92</v>
      </c>
    </row>
    <row r="14268" spans="1:4" x14ac:dyDescent="0.25">
      <c r="A14268" t="s">
        <v>720</v>
      </c>
      <c r="B14268" t="s">
        <v>229</v>
      </c>
      <c r="C14268" s="2">
        <f>HYPERLINK("https://sao.dolgi.msk.ru/account/1404090641/", 1404090641)</f>
        <v>1404090641</v>
      </c>
      <c r="D14268">
        <v>2347.54</v>
      </c>
    </row>
    <row r="14269" spans="1:4" hidden="1" x14ac:dyDescent="0.25">
      <c r="A14269" t="s">
        <v>720</v>
      </c>
      <c r="B14269" t="s">
        <v>230</v>
      </c>
      <c r="C14269" s="2">
        <f>HYPERLINK("https://sao.dolgi.msk.ru/account/1404088955/", 1404088955)</f>
        <v>1404088955</v>
      </c>
      <c r="D14269">
        <v>-6191.64</v>
      </c>
    </row>
    <row r="14270" spans="1:4" hidden="1" x14ac:dyDescent="0.25">
      <c r="A14270" t="s">
        <v>720</v>
      </c>
      <c r="B14270" t="s">
        <v>231</v>
      </c>
      <c r="C14270" s="2">
        <f>HYPERLINK("https://sao.dolgi.msk.ru/account/1404089747/", 1404089747)</f>
        <v>1404089747</v>
      </c>
      <c r="D14270">
        <v>-4205.05</v>
      </c>
    </row>
    <row r="14271" spans="1:4" hidden="1" x14ac:dyDescent="0.25">
      <c r="A14271" t="s">
        <v>720</v>
      </c>
      <c r="B14271" t="s">
        <v>232</v>
      </c>
      <c r="C14271" s="2">
        <f>HYPERLINK("https://sao.dolgi.msk.ru/account/1404087848/", 1404087848)</f>
        <v>1404087848</v>
      </c>
      <c r="D14271">
        <v>-1190.8800000000001</v>
      </c>
    </row>
    <row r="14272" spans="1:4" hidden="1" x14ac:dyDescent="0.25">
      <c r="A14272" t="s">
        <v>720</v>
      </c>
      <c r="B14272" t="s">
        <v>233</v>
      </c>
      <c r="C14272" s="2">
        <f>HYPERLINK("https://sao.dolgi.msk.ru/account/1404089923/", 1404089923)</f>
        <v>1404089923</v>
      </c>
      <c r="D14272">
        <v>-10123.83</v>
      </c>
    </row>
    <row r="14273" spans="1:4" hidden="1" x14ac:dyDescent="0.25">
      <c r="A14273" t="s">
        <v>720</v>
      </c>
      <c r="B14273" t="s">
        <v>234</v>
      </c>
      <c r="C14273" s="2">
        <f>HYPERLINK("https://sao.dolgi.msk.ru/account/1404090027/", 1404090027)</f>
        <v>1404090027</v>
      </c>
      <c r="D14273">
        <v>-5011.26</v>
      </c>
    </row>
    <row r="14274" spans="1:4" hidden="1" x14ac:dyDescent="0.25">
      <c r="A14274" t="s">
        <v>720</v>
      </c>
      <c r="B14274" t="s">
        <v>235</v>
      </c>
      <c r="C14274" s="2">
        <f>HYPERLINK("https://sao.dolgi.msk.ru/account/1404085391/", 1404085391)</f>
        <v>1404085391</v>
      </c>
      <c r="D14274">
        <v>-8318.1299999999992</v>
      </c>
    </row>
    <row r="14275" spans="1:4" hidden="1" x14ac:dyDescent="0.25">
      <c r="A14275" t="s">
        <v>720</v>
      </c>
      <c r="B14275" t="s">
        <v>239</v>
      </c>
      <c r="C14275" s="2">
        <f>HYPERLINK("https://sao.dolgi.msk.ru/account/1404087952/", 1404087952)</f>
        <v>1404087952</v>
      </c>
      <c r="D14275">
        <v>-2284.6</v>
      </c>
    </row>
    <row r="14276" spans="1:4" hidden="1" x14ac:dyDescent="0.25">
      <c r="A14276" t="s">
        <v>720</v>
      </c>
      <c r="B14276" t="s">
        <v>240</v>
      </c>
      <c r="C14276" s="2">
        <f>HYPERLINK("https://sao.dolgi.msk.ru/account/1404086677/", 1404086677)</f>
        <v>1404086677</v>
      </c>
      <c r="D14276">
        <v>-717.6</v>
      </c>
    </row>
    <row r="14277" spans="1:4" hidden="1" x14ac:dyDescent="0.25">
      <c r="A14277" t="s">
        <v>720</v>
      </c>
      <c r="B14277" t="s">
        <v>241</v>
      </c>
      <c r="C14277" s="2">
        <f>HYPERLINK("https://sao.dolgi.msk.ru/account/1404086319/", 1404086319)</f>
        <v>1404086319</v>
      </c>
      <c r="D14277">
        <v>0</v>
      </c>
    </row>
    <row r="14278" spans="1:4" hidden="1" x14ac:dyDescent="0.25">
      <c r="A14278" t="s">
        <v>720</v>
      </c>
      <c r="B14278" t="s">
        <v>242</v>
      </c>
      <c r="C14278" s="2">
        <f>HYPERLINK("https://sao.dolgi.msk.ru/account/1404086415/", 1404086415)</f>
        <v>1404086415</v>
      </c>
      <c r="D14278">
        <v>0</v>
      </c>
    </row>
  </sheetData>
  <autoFilter ref="A7:D14278">
    <filterColumn colId="3">
      <customFilters>
        <customFilter operator="greaterThanOrEqual" val="1"/>
      </customFilters>
    </filterColumn>
  </autoFilter>
  <mergeCells count="6">
    <mergeCell ref="A6:D6"/>
    <mergeCell ref="A5:D5"/>
    <mergeCell ref="A4:D4"/>
    <mergeCell ref="A3:D3"/>
    <mergeCell ref="A2:D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>Жилищник района Левобережный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Сергеевич Клушин (Начальник юридического отдела) &lt;sergeyrms@mail.ru&gt;</dc:creator>
  <dc:description>uuid: 018a69725feb700099fcd7a5a11fd45d generated: 2023-09-06 10:43:37</dc:description>
  <cp:lastModifiedBy>GBU-U01</cp:lastModifiedBy>
  <dcterms:created xsi:type="dcterms:W3CDTF">2023-09-06T07:44:01Z</dcterms:created>
  <dcterms:modified xsi:type="dcterms:W3CDTF">2023-09-06T07:48:23Z</dcterms:modified>
</cp:coreProperties>
</file>